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SBUDGET.2007.250Cows" sheetId="1" r:id="rId1"/>
  </sheets>
  <definedNames>
    <definedName name="\P">'MSBUDGET.2007.250Cows'!$IR$8200</definedName>
    <definedName name="\Q">'MSBUDGET.2007.250Cows'!$IR$8200</definedName>
    <definedName name="\R">'MSBUDGET.2007.250Cows'!$IR$8200</definedName>
    <definedName name="\S">'MSBUDGET.2007.250Cows'!$IR$8200</definedName>
    <definedName name="_xlnm.Print_Area" localSheetId="0">'MSBUDGET.2007.250Cows'!$A$1:$L$62</definedName>
  </definedNames>
  <calcPr fullCalcOnLoad="1"/>
</workbook>
</file>

<file path=xl/sharedStrings.xml><?xml version="1.0" encoding="utf-8"?>
<sst xmlns="http://schemas.openxmlformats.org/spreadsheetml/2006/main" count="248" uniqueCount="196">
  <si>
    <t>COWS IN MILKING HERD</t>
  </si>
  <si>
    <t>ESTIMATED ANNUAL COSTS AND RETURNS:</t>
  </si>
  <si>
    <t>FOR A PROTEIN CONCENTRATE, CORN SILAGE,</t>
  </si>
  <si>
    <t>HAY AND PASTURE FEEDING REGIMEN</t>
  </si>
  <si>
    <t>ASSUMPTIONS USED IN BUDGET:</t>
  </si>
  <si>
    <t>LBS. MILK PRODUCED PER COW</t>
  </si>
  <si>
    <t>CULLING RATE OF MILKING HERD</t>
  </si>
  <si>
    <t>AVERAGE MILK PRICE PER CWT.</t>
  </si>
  <si>
    <t>DEATH LOSS IN MILKING HERD</t>
  </si>
  <si>
    <t>BULL CALF PRICE PER HEAD</t>
  </si>
  <si>
    <t>CALF CROP OF MILKING HERD</t>
  </si>
  <si>
    <t>CULL/CUTTER PRICE PER CWT.</t>
  </si>
  <si>
    <t>DEATH LOSS FOR HEIFERS (0-12 MOS)</t>
  </si>
  <si>
    <t>MILK COW PRICE PER HEAD</t>
  </si>
  <si>
    <t>DEATH LOSS FOR HEIFERS (12-24 MOS)</t>
  </si>
  <si>
    <t>BRED HEIFERS PRICE PER HEAD</t>
  </si>
  <si>
    <t>DEATH LOSS FOR BULL CALVES</t>
  </si>
  <si>
    <t>A.</t>
  </si>
  <si>
    <t>Item</t>
  </si>
  <si>
    <t>Unit</t>
  </si>
  <si>
    <t>QUANTITY</t>
  </si>
  <si>
    <t>PRICE or</t>
  </si>
  <si>
    <t>VALUE or</t>
  </si>
  <si>
    <t>COST/UNIT</t>
  </si>
  <si>
    <t xml:space="preserve">COST    </t>
  </si>
  <si>
    <t>I.</t>
  </si>
  <si>
    <t>INCOME</t>
  </si>
  <si>
    <t xml:space="preserve">$   </t>
  </si>
  <si>
    <t xml:space="preserve">$       </t>
  </si>
  <si>
    <t>Milk (16,000 lbs./cow 3.5% B.F.)</t>
  </si>
  <si>
    <t>Cwt.</t>
  </si>
  <si>
    <t>Bull Calves</t>
  </si>
  <si>
    <t>Head</t>
  </si>
  <si>
    <t>Cull Cows (Weighing 1,300 lbs)</t>
  </si>
  <si>
    <t>Cull Bred Heifers</t>
  </si>
  <si>
    <t>TOTAL INCOME</t>
  </si>
  <si>
    <t>II.</t>
  </si>
  <si>
    <t>DIRECT EXPENSES</t>
  </si>
  <si>
    <t>Ton</t>
  </si>
  <si>
    <t>Feed Purchased (18% protein)</t>
  </si>
  <si>
    <t>Feed Purchased (20% protein)</t>
  </si>
  <si>
    <t>Calf Grower/Starter (18% protein)</t>
  </si>
  <si>
    <t>Acre</t>
  </si>
  <si>
    <t>Milk Cow</t>
  </si>
  <si>
    <t>Milk Hauling</t>
  </si>
  <si>
    <t>Marketing (@ .20/cwt), Promotion (@ .15/cwt)</t>
  </si>
  <si>
    <t>Repairs (3% on Building &amp; Equipment)</t>
  </si>
  <si>
    <t xml:space="preserve">  $</t>
  </si>
  <si>
    <t>Veterinary and Medicine</t>
  </si>
  <si>
    <t xml:space="preserve">Head </t>
  </si>
  <si>
    <t>Dairy Supplies</t>
  </si>
  <si>
    <t>Electricity and Utilities</t>
  </si>
  <si>
    <t>Hours</t>
  </si>
  <si>
    <t>TOTAL DIRECT EXPENSES</t>
  </si>
  <si>
    <t>III.</t>
  </si>
  <si>
    <t>RETURNS ABOVE TOTAL DIRECT EXPENSES</t>
  </si>
  <si>
    <t>IV.</t>
  </si>
  <si>
    <t xml:space="preserve">FIXED EXPENSES </t>
  </si>
  <si>
    <t>Tractors and Equipment--Depreciation and Interest on Investment</t>
  </si>
  <si>
    <t>Buildings and Equipment--Depreciation</t>
  </si>
  <si>
    <t>Buildings and Equipment--Interest on Investment</t>
  </si>
  <si>
    <t>Dairy Livestock--Interest on Investment(NO Depreciation)</t>
  </si>
  <si>
    <t>Insurance(Liability)</t>
  </si>
  <si>
    <t>Professional Services (Acctg, Legal, etc.)</t>
  </si>
  <si>
    <t>Cow</t>
  </si>
  <si>
    <t>Taxes (Ad Valorem, Property, etc.)</t>
  </si>
  <si>
    <t>TOTAL FIXED EXPENSES</t>
  </si>
  <si>
    <t>V.</t>
  </si>
  <si>
    <t>RETURNS TO LAND AND MANAGEMENT</t>
  </si>
  <si>
    <t>VI.</t>
  </si>
  <si>
    <t>RETURNS TO LAND AND MANAGEMENT PER COW</t>
  </si>
  <si>
    <t>B.</t>
  </si>
  <si>
    <t>VALUE/</t>
  </si>
  <si>
    <t>NEW</t>
  </si>
  <si>
    <t xml:space="preserve">   CATTLE</t>
  </si>
  <si>
    <t>NO.</t>
  </si>
  <si>
    <t>COST</t>
  </si>
  <si>
    <t>SALVAGE</t>
  </si>
  <si>
    <t xml:space="preserve">   DEPRECIATION</t>
  </si>
  <si>
    <t>$/HEAD</t>
  </si>
  <si>
    <t>$</t>
  </si>
  <si>
    <t>Milk Cows</t>
  </si>
  <si>
    <t>Bred Heifers(15-24 mos.)</t>
  </si>
  <si>
    <t>Heifers (8-15 months)</t>
  </si>
  <si>
    <t>Heifer Calves(0-8 months)</t>
  </si>
  <si>
    <t xml:space="preserve">   TOTALS</t>
  </si>
  <si>
    <t>Depreciation (assuming ZERO Depreciation on Farm-Raised Dairy Cattle)</t>
  </si>
  <si>
    <t>Interest Rate</t>
  </si>
  <si>
    <t>Interest on Investment</t>
  </si>
  <si>
    <t>C.</t>
  </si>
  <si>
    <t xml:space="preserve">    BUILDINGS AND</t>
  </si>
  <si>
    <t>UNIT</t>
  </si>
  <si>
    <t xml:space="preserve">      EQUIPMENT</t>
  </si>
  <si>
    <t>YRS</t>
  </si>
  <si>
    <t xml:space="preserve">  SALVAGE</t>
  </si>
  <si>
    <t>Double 6 Herringbone</t>
  </si>
  <si>
    <t xml:space="preserve">$  </t>
  </si>
  <si>
    <t xml:space="preserve">  Milking Parlor &amp; Holding Pen</t>
  </si>
  <si>
    <t>Free Stall Barn &amp; Feed Equip</t>
  </si>
  <si>
    <t>Lagoon &amp; Flushing/Water System</t>
  </si>
  <si>
    <t>Feed Bunk (with cover)</t>
  </si>
  <si>
    <t>Calf Hutches</t>
  </si>
  <si>
    <t>Depreciation (Dairy Buildings &amp; Equipment)</t>
  </si>
  <si>
    <t>D.</t>
  </si>
  <si>
    <t xml:space="preserve">  Cows or</t>
  </si>
  <si>
    <t>Lbs Fed</t>
  </si>
  <si>
    <t>Days</t>
  </si>
  <si>
    <t>Total lbs.</t>
  </si>
  <si>
    <t>Tons</t>
  </si>
  <si>
    <t>Herd</t>
  </si>
  <si>
    <t>Heifers Fed</t>
  </si>
  <si>
    <t>per Day</t>
  </si>
  <si>
    <t>Fed</t>
  </si>
  <si>
    <t>per cow</t>
  </si>
  <si>
    <t>Totals</t>
  </si>
  <si>
    <t>Average Number of Cows in Milk</t>
  </si>
  <si>
    <t>Average Number of Cows Dry</t>
  </si>
  <si>
    <t>Average Number of Yearling Heifers, 12-24 months old</t>
  </si>
  <si>
    <t>Average Number of Heifer Calves, 0-12 months old</t>
  </si>
  <si>
    <t>TOTAL AVERAGE NUMBER OF DAIRY LIVESTOCK</t>
  </si>
  <si>
    <t>Silage Fed:</t>
  </si>
  <si>
    <t xml:space="preserve">  With Grazing</t>
  </si>
  <si>
    <t xml:space="preserve">  Without Grazing</t>
  </si>
  <si>
    <t xml:space="preserve">  10% Silage Wastage</t>
  </si>
  <si>
    <t xml:space="preserve">   TOTAL SILAGE FED</t>
  </si>
  <si>
    <t>tons</t>
  </si>
  <si>
    <t>Hay Fed:</t>
  </si>
  <si>
    <t xml:space="preserve">  Dry - grazing</t>
  </si>
  <si>
    <t xml:space="preserve">  Heifers (0-24 months)</t>
  </si>
  <si>
    <t xml:space="preserve">   TOTAL HAY FED</t>
  </si>
  <si>
    <t>Protein grain ration:</t>
  </si>
  <si>
    <t xml:space="preserve">  18%--With Grazing</t>
  </si>
  <si>
    <t xml:space="preserve">  20%--Without Grazing</t>
  </si>
  <si>
    <t xml:space="preserve">   TOTAL PROTEIN FED</t>
  </si>
  <si>
    <t>14% Protein Grain Ration:</t>
  </si>
  <si>
    <t xml:space="preserve">  Dry Cows</t>
  </si>
  <si>
    <t xml:space="preserve">  Heifers (12-24 months)</t>
  </si>
  <si>
    <t xml:space="preserve">   TOTAL 14% PROTEIN FED</t>
  </si>
  <si>
    <t>18% Calf Grower</t>
  </si>
  <si>
    <t xml:space="preserve"> (0-12 month old calves)</t>
  </si>
  <si>
    <t>E.</t>
  </si>
  <si>
    <t>Net Returns per Cow:</t>
  </si>
  <si>
    <t xml:space="preserve">  -------------------------Pounds of Milk Per Cow---------------------------</t>
  </si>
  <si>
    <t>Milk Price (per Cwt)</t>
  </si>
  <si>
    <t xml:space="preserve">Estimated annual income, expenses, and returns for Grade A 250 Cow Milking Herd </t>
  </si>
  <si>
    <t>Bulk Tank (4,000 Gallon)</t>
  </si>
  <si>
    <t>Fences (about 6 miles)</t>
  </si>
  <si>
    <t>Trench Silo (2,000 Tons)</t>
  </si>
  <si>
    <t>Page 12.</t>
  </si>
  <si>
    <t>Page 13.</t>
  </si>
  <si>
    <t>Page 14.</t>
  </si>
  <si>
    <t xml:space="preserve">BASIS </t>
  </si>
  <si>
    <t>per cwt.</t>
  </si>
  <si>
    <t>Net Returns per Cwt.</t>
  </si>
  <si>
    <t>ALL MILK PRICE per CWT.</t>
  </si>
  <si>
    <t>MS</t>
  </si>
  <si>
    <t>LA</t>
  </si>
  <si>
    <t>AVG '96-'00</t>
  </si>
  <si>
    <t>AVG '97-'01</t>
  </si>
  <si>
    <t>AVG '98-'02</t>
  </si>
  <si>
    <t>AVG '95-'99</t>
  </si>
  <si>
    <t>AVG '00-'02</t>
  </si>
  <si>
    <t>AVG '01-'03</t>
  </si>
  <si>
    <t>AVG '99-'03</t>
  </si>
  <si>
    <t>AVG '00-'04</t>
  </si>
  <si>
    <t>3-Year Averages</t>
  </si>
  <si>
    <t>AVG '02-'04</t>
  </si>
  <si>
    <t>AVG '01-'05</t>
  </si>
  <si>
    <t>5-Year Averages</t>
  </si>
  <si>
    <t>AVG '03-'05</t>
  </si>
  <si>
    <t>Breeding fees (2.2 X per hd @ $15.00)</t>
  </si>
  <si>
    <t>Hired Labor($10.00/hr plus 25% for FICA &amp; Fringes)</t>
  </si>
  <si>
    <t>Net Returns for Dairy Operation:</t>
  </si>
  <si>
    <t>Purchased</t>
  </si>
  <si>
    <t>Feed Costs</t>
  </si>
  <si>
    <t>Growing</t>
  </si>
  <si>
    <t>Forage Cost</t>
  </si>
  <si>
    <t>Total Feed/</t>
  </si>
  <si>
    <t>Feed/Forage</t>
  </si>
  <si>
    <t>Costs % Total</t>
  </si>
  <si>
    <t>$ per CWT</t>
  </si>
  <si>
    <t>Feed Purchased (14% protein)</t>
  </si>
  <si>
    <t>DHIA Testing</t>
  </si>
  <si>
    <t>2007 MISSISSIPPI DAIRY ENTERPRISE BUDGET     ==&gt;</t>
  </si>
  <si>
    <t>(223-cow milking unit plus 27 dry cows of large breed), Mississippi, 2007</t>
  </si>
  <si>
    <t>AVG '95-'06</t>
  </si>
  <si>
    <t>AVG '02-'06</t>
  </si>
  <si>
    <t>AVG '04-'06</t>
  </si>
  <si>
    <t>Hay-Sudan @ 5 tons/acre (2007 MSU Budget)</t>
  </si>
  <si>
    <t>Corn Silage @ 13 tons/acre (2007 MSU Budget)</t>
  </si>
  <si>
    <t>Pasture-Permanent (2007 MSU Budget)</t>
  </si>
  <si>
    <t>Pasture-Ryegrass, Annual (2007 Budget)</t>
  </si>
  <si>
    <t xml:space="preserve">   Corn Silage(2007 MSU Budget)</t>
  </si>
  <si>
    <t xml:space="preserve">   Pasture-Permanent(2007 MSU Budget)</t>
  </si>
  <si>
    <t xml:space="preserve">   Pasture-Ryegrass, Annual(2007 Budget)</t>
  </si>
  <si>
    <t xml:space="preserve">   Hay-Sorghum Sudan(2007 MSU Budget)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</si>
</sst>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%"/>
    <numFmt numFmtId="167" formatCode="&quot;$&quot;#,##0.00"/>
    <numFmt numFmtId="168" formatCode="&quot;$&quot;#,##0"/>
    <numFmt numFmtId="169" formatCode="&quot;$&quot;#,##0.00;[Red]&quot;$&quot;#,##0.00"/>
  </numFmts>
  <fonts count="6">
    <font>
      <sz val="12"/>
      <name val="Arial"/>
      <family val="0"/>
    </font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39" fontId="0" fillId="0" borderId="0" xfId="0" applyAlignment="1">
      <alignment/>
    </xf>
    <xf numFmtId="39" fontId="0" fillId="0" borderId="0" xfId="0" applyAlignment="1" applyProtection="1">
      <alignment/>
      <protection/>
    </xf>
    <xf numFmtId="39" fontId="0" fillId="0" borderId="1" xfId="0" applyBorder="1" applyAlignment="1" applyProtection="1">
      <alignment/>
      <protection/>
    </xf>
    <xf numFmtId="39" fontId="0" fillId="0" borderId="2" xfId="0" applyBorder="1" applyAlignment="1" applyProtection="1">
      <alignment/>
      <protection/>
    </xf>
    <xf numFmtId="39" fontId="0" fillId="0" borderId="3" xfId="0" applyBorder="1" applyAlignment="1" applyProtection="1">
      <alignment/>
      <protection/>
    </xf>
    <xf numFmtId="39" fontId="0" fillId="0" borderId="4" xfId="0" applyBorder="1" applyAlignment="1" applyProtection="1">
      <alignment/>
      <protection/>
    </xf>
    <xf numFmtId="39" fontId="0" fillId="0" borderId="5" xfId="0" applyBorder="1" applyAlignment="1" applyProtection="1">
      <alignment/>
      <protection/>
    </xf>
    <xf numFmtId="39" fontId="0" fillId="0" borderId="6" xfId="0" applyBorder="1" applyAlignment="1" applyProtection="1">
      <alignment/>
      <protection/>
    </xf>
    <xf numFmtId="39" fontId="0" fillId="0" borderId="7" xfId="0" applyBorder="1" applyAlignment="1" applyProtection="1">
      <alignment/>
      <protection/>
    </xf>
    <xf numFmtId="39" fontId="0" fillId="0" borderId="8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9" fontId="0" fillId="0" borderId="9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9" fontId="0" fillId="0" borderId="0" xfId="0" applyAlignment="1" applyProtection="1">
      <alignment horizontal="right"/>
      <protection/>
    </xf>
    <xf numFmtId="39" fontId="0" fillId="0" borderId="7" xfId="0" applyBorder="1" applyAlignment="1" applyProtection="1">
      <alignment horizontal="right"/>
      <protection/>
    </xf>
    <xf numFmtId="39" fontId="0" fillId="0" borderId="6" xfId="0" applyBorder="1" applyAlignment="1" applyProtection="1">
      <alignment horizontal="right"/>
      <protection/>
    </xf>
    <xf numFmtId="0" fontId="0" fillId="0" borderId="1" xfId="0" applyNumberFormat="1" applyBorder="1" applyAlignment="1" applyProtection="1">
      <alignment/>
      <protection/>
    </xf>
    <xf numFmtId="39" fontId="0" fillId="0" borderId="1" xfId="0" applyBorder="1" applyAlignment="1" applyProtection="1" quotePrefix="1">
      <alignment/>
      <protection/>
    </xf>
    <xf numFmtId="39" fontId="0" fillId="0" borderId="0" xfId="0" applyAlignment="1" applyProtection="1" quotePrefix="1">
      <alignment/>
      <protection/>
    </xf>
    <xf numFmtId="39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39" fontId="0" fillId="0" borderId="0" xfId="0" applyBorder="1" applyAlignment="1" applyProtection="1" quotePrefix="1">
      <alignment/>
      <protection/>
    </xf>
    <xf numFmtId="39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39" fontId="0" fillId="0" borderId="10" xfId="0" applyBorder="1" applyAlignment="1" applyProtection="1">
      <alignment horizontal="right"/>
      <protection/>
    </xf>
    <xf numFmtId="39" fontId="0" fillId="0" borderId="11" xfId="0" applyBorder="1" applyAlignment="1" applyProtection="1">
      <alignment horizontal="right"/>
      <protection/>
    </xf>
    <xf numFmtId="39" fontId="0" fillId="0" borderId="12" xfId="0" applyBorder="1" applyAlignment="1" applyProtection="1">
      <alignment horizontal="right"/>
      <protection/>
    </xf>
    <xf numFmtId="39" fontId="0" fillId="0" borderId="7" xfId="0" applyBorder="1" applyAlignment="1" applyProtection="1">
      <alignment horizontal="center"/>
      <protection/>
    </xf>
    <xf numFmtId="7" fontId="0" fillId="0" borderId="13" xfId="0" applyNumberFormat="1" applyBorder="1" applyAlignment="1" applyProtection="1">
      <alignment/>
      <protection/>
    </xf>
    <xf numFmtId="7" fontId="0" fillId="0" borderId="14" xfId="0" applyNumberFormat="1" applyBorder="1" applyAlignment="1" applyProtection="1">
      <alignment/>
      <protection/>
    </xf>
    <xf numFmtId="7" fontId="0" fillId="0" borderId="0" xfId="0" applyNumberFormat="1" applyAlignment="1">
      <alignment/>
    </xf>
    <xf numFmtId="7" fontId="0" fillId="0" borderId="13" xfId="0" applyNumberFormat="1" applyBorder="1" applyAlignment="1">
      <alignment/>
    </xf>
    <xf numFmtId="7" fontId="0" fillId="0" borderId="14" xfId="0" applyNumberFormat="1" applyBorder="1" applyAlignment="1">
      <alignment/>
    </xf>
    <xf numFmtId="7" fontId="0" fillId="0" borderId="12" xfId="0" applyNumberFormat="1" applyBorder="1" applyAlignment="1">
      <alignment/>
    </xf>
    <xf numFmtId="39" fontId="0" fillId="0" borderId="2" xfId="0" applyBorder="1" applyAlignment="1">
      <alignment/>
    </xf>
    <xf numFmtId="167" fontId="0" fillId="0" borderId="0" xfId="0" applyNumberFormat="1" applyBorder="1" applyAlignment="1" applyProtection="1">
      <alignment/>
      <protection/>
    </xf>
    <xf numFmtId="39" fontId="0" fillId="0" borderId="0" xfId="0" applyAlignment="1" applyProtection="1" quotePrefix="1">
      <alignment horizontal="center"/>
      <protection/>
    </xf>
    <xf numFmtId="39" fontId="0" fillId="0" borderId="10" xfId="0" applyBorder="1" applyAlignment="1" applyProtection="1">
      <alignment/>
      <protection/>
    </xf>
    <xf numFmtId="39" fontId="0" fillId="0" borderId="15" xfId="0" applyBorder="1" applyAlignment="1" applyProtection="1">
      <alignment/>
      <protection/>
    </xf>
    <xf numFmtId="39" fontId="0" fillId="0" borderId="16" xfId="0" applyBorder="1" applyAlignment="1" applyProtection="1">
      <alignment/>
      <protection/>
    </xf>
    <xf numFmtId="39" fontId="0" fillId="0" borderId="4" xfId="0" applyBorder="1" applyAlignment="1">
      <alignment/>
    </xf>
    <xf numFmtId="39" fontId="0" fillId="0" borderId="8" xfId="0" applyBorder="1" applyAlignment="1">
      <alignment/>
    </xf>
    <xf numFmtId="39" fontId="0" fillId="0" borderId="0" xfId="0" applyBorder="1" applyAlignment="1">
      <alignment/>
    </xf>
    <xf numFmtId="167" fontId="0" fillId="0" borderId="7" xfId="0" applyNumberFormat="1" applyBorder="1" applyAlignment="1" applyProtection="1">
      <alignment/>
      <protection/>
    </xf>
    <xf numFmtId="167" fontId="0" fillId="0" borderId="5" xfId="0" applyNumberFormat="1" applyBorder="1" applyAlignment="1" applyProtection="1">
      <alignment/>
      <protection/>
    </xf>
    <xf numFmtId="7" fontId="0" fillId="0" borderId="5" xfId="0" applyNumberForma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39" fontId="2" fillId="0" borderId="0" xfId="0" applyFont="1" applyAlignment="1">
      <alignment/>
    </xf>
    <xf numFmtId="39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7" fontId="0" fillId="0" borderId="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right"/>
      <protection/>
    </xf>
    <xf numFmtId="39" fontId="3" fillId="0" borderId="0" xfId="0" applyFont="1" applyAlignment="1" quotePrefix="1">
      <alignment/>
    </xf>
    <xf numFmtId="39" fontId="0" fillId="0" borderId="0" xfId="0" applyAlignment="1" quotePrefix="1">
      <alignment/>
    </xf>
    <xf numFmtId="8" fontId="0" fillId="0" borderId="0" xfId="0" applyNumberFormat="1" applyBorder="1" applyAlignment="1" applyProtection="1">
      <alignment horizontal="right"/>
      <protection/>
    </xf>
    <xf numFmtId="8" fontId="0" fillId="0" borderId="17" xfId="0" applyNumberFormat="1" applyBorder="1" applyAlignment="1" applyProtection="1">
      <alignment horizontal="right"/>
      <protection/>
    </xf>
    <xf numFmtId="8" fontId="0" fillId="0" borderId="0" xfId="0" applyNumberFormat="1" applyBorder="1" applyAlignment="1" applyProtection="1">
      <alignment/>
      <protection/>
    </xf>
    <xf numFmtId="8" fontId="0" fillId="0" borderId="17" xfId="0" applyNumberFormat="1" applyBorder="1" applyAlignment="1" applyProtection="1">
      <alignment/>
      <protection/>
    </xf>
    <xf numFmtId="39" fontId="4" fillId="0" borderId="4" xfId="0" applyFont="1" applyBorder="1" applyAlignment="1" applyProtection="1">
      <alignment/>
      <protection/>
    </xf>
    <xf numFmtId="44" fontId="5" fillId="0" borderId="16" xfId="17" applyFont="1" applyBorder="1" applyAlignment="1" applyProtection="1">
      <alignment/>
      <protection/>
    </xf>
    <xf numFmtId="10" fontId="5" fillId="0" borderId="16" xfId="19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93"/>
  <sheetViews>
    <sheetView tabSelected="1" defaultGridColor="0" zoomScale="87" zoomScaleNormal="87" colorId="22" workbookViewId="0" topLeftCell="A1">
      <selection activeCell="H66" sqref="H66"/>
    </sheetView>
  </sheetViews>
  <sheetFormatPr defaultColWidth="9.77734375" defaultRowHeight="15"/>
  <cols>
    <col min="1" max="1" width="3.77734375" style="0" customWidth="1"/>
    <col min="2" max="2" width="11.77734375" style="0" customWidth="1"/>
    <col min="3" max="3" width="10.77734375" style="0" customWidth="1"/>
    <col min="4" max="4" width="12.3359375" style="0" bestFit="1" customWidth="1"/>
    <col min="5" max="5" width="11.10546875" style="0" customWidth="1"/>
    <col min="6" max="6" width="11.21484375" style="0" customWidth="1"/>
    <col min="7" max="8" width="11.77734375" style="0" bestFit="1" customWidth="1"/>
    <col min="9" max="9" width="11.77734375" style="0" customWidth="1"/>
    <col min="10" max="10" width="5.77734375" style="0" customWidth="1"/>
    <col min="11" max="11" width="9.3359375" style="0" customWidth="1"/>
    <col min="12" max="12" width="11.77734375" style="0" customWidth="1"/>
    <col min="13" max="13" width="4.10546875" style="0" customWidth="1"/>
    <col min="14" max="14" width="10.5546875" style="0" customWidth="1"/>
  </cols>
  <sheetData>
    <row r="1" spans="1:17" ht="15.75" thickBot="1">
      <c r="A1" s="34"/>
      <c r="B1" s="23" t="s">
        <v>183</v>
      </c>
      <c r="C1" s="2"/>
      <c r="D1" s="2"/>
      <c r="E1" s="2"/>
      <c r="F1" s="3"/>
      <c r="G1" s="22">
        <v>250</v>
      </c>
      <c r="H1" s="2" t="s">
        <v>0</v>
      </c>
      <c r="I1" s="2"/>
      <c r="J1" s="4"/>
      <c r="K1" s="1"/>
      <c r="L1" s="1"/>
      <c r="O1" s="59" t="s">
        <v>154</v>
      </c>
      <c r="P1" s="59"/>
      <c r="Q1" s="59"/>
    </row>
    <row r="2" spans="1:16" ht="16.5" thickBot="1" thickTop="1">
      <c r="A2" s="35"/>
      <c r="B2" s="6" t="s">
        <v>1</v>
      </c>
      <c r="C2" s="6"/>
      <c r="D2" s="6"/>
      <c r="E2" s="6"/>
      <c r="F2" s="25" t="s">
        <v>2</v>
      </c>
      <c r="G2" s="25"/>
      <c r="H2" s="25"/>
      <c r="I2" s="25"/>
      <c r="J2" s="7"/>
      <c r="K2" s="1"/>
      <c r="L2" s="1"/>
      <c r="O2" s="60" t="s">
        <v>155</v>
      </c>
      <c r="P2" s="60" t="s">
        <v>156</v>
      </c>
    </row>
    <row r="3" spans="1:13" ht="15.75" thickTop="1">
      <c r="A3" s="35"/>
      <c r="B3" s="25"/>
      <c r="C3" s="25"/>
      <c r="D3" s="25"/>
      <c r="E3" s="25"/>
      <c r="F3" s="25" t="s">
        <v>3</v>
      </c>
      <c r="G3" s="25"/>
      <c r="H3" s="25"/>
      <c r="I3" s="25"/>
      <c r="J3" s="7"/>
      <c r="K3" s="1"/>
      <c r="L3" s="1"/>
      <c r="M3" s="25"/>
    </row>
    <row r="4" spans="1:16" ht="15.75" thickBot="1">
      <c r="A4" s="35"/>
      <c r="B4" s="6" t="s">
        <v>4</v>
      </c>
      <c r="C4" s="6"/>
      <c r="D4" s="6"/>
      <c r="E4" s="25"/>
      <c r="F4" s="25"/>
      <c r="G4" s="25"/>
      <c r="H4" s="25"/>
      <c r="I4" s="25"/>
      <c r="J4" s="7"/>
      <c r="K4" s="1"/>
      <c r="L4" s="1"/>
      <c r="M4" s="52"/>
      <c r="N4" s="62">
        <v>1995</v>
      </c>
      <c r="O4" s="61">
        <v>13.7</v>
      </c>
      <c r="P4" s="61">
        <v>13.8</v>
      </c>
    </row>
    <row r="5" spans="1:16" ht="15.75" thickTop="1">
      <c r="A5" s="35"/>
      <c r="B5" s="26">
        <v>16000</v>
      </c>
      <c r="C5" s="25" t="s">
        <v>5</v>
      </c>
      <c r="D5" s="25"/>
      <c r="E5" s="25"/>
      <c r="F5" s="27">
        <v>0.3</v>
      </c>
      <c r="G5" s="25" t="s">
        <v>6</v>
      </c>
      <c r="H5" s="25"/>
      <c r="I5" s="25"/>
      <c r="J5" s="7"/>
      <c r="K5" s="1"/>
      <c r="L5" s="1"/>
      <c r="N5" s="62">
        <v>1996</v>
      </c>
      <c r="O5" s="61">
        <v>16.1</v>
      </c>
      <c r="P5" s="61">
        <v>16.2</v>
      </c>
    </row>
    <row r="6" spans="1:16" ht="15">
      <c r="A6" s="35"/>
      <c r="B6" s="28">
        <v>16.8</v>
      </c>
      <c r="C6" s="25" t="s">
        <v>7</v>
      </c>
      <c r="D6" s="25"/>
      <c r="E6" s="25"/>
      <c r="F6" s="27">
        <v>0.04</v>
      </c>
      <c r="G6" s="25" t="s">
        <v>8</v>
      </c>
      <c r="H6" s="25"/>
      <c r="I6" s="25"/>
      <c r="J6" s="7"/>
      <c r="K6" s="1"/>
      <c r="L6" s="1"/>
      <c r="N6" s="62">
        <v>1997</v>
      </c>
      <c r="O6" s="61">
        <v>14.4</v>
      </c>
      <c r="P6" s="61">
        <v>14.3</v>
      </c>
    </row>
    <row r="7" spans="1:16" ht="15">
      <c r="A7" s="35"/>
      <c r="B7" s="28">
        <v>200</v>
      </c>
      <c r="C7" s="25" t="s">
        <v>9</v>
      </c>
      <c r="D7" s="25"/>
      <c r="E7" s="25"/>
      <c r="F7" s="27">
        <v>1.15</v>
      </c>
      <c r="G7" s="25" t="s">
        <v>10</v>
      </c>
      <c r="H7" s="25"/>
      <c r="I7" s="25"/>
      <c r="J7" s="7"/>
      <c r="K7" s="1"/>
      <c r="L7" s="1"/>
      <c r="N7" s="62">
        <v>1998</v>
      </c>
      <c r="O7" s="61">
        <v>16.2</v>
      </c>
      <c r="P7" s="61">
        <v>16.2</v>
      </c>
    </row>
    <row r="8" spans="1:16" ht="15">
      <c r="A8" s="35"/>
      <c r="B8" s="28">
        <v>45</v>
      </c>
      <c r="C8" s="25" t="s">
        <v>11</v>
      </c>
      <c r="D8" s="25"/>
      <c r="E8" s="25"/>
      <c r="F8" s="27">
        <v>0.05</v>
      </c>
      <c r="G8" s="25" t="s">
        <v>12</v>
      </c>
      <c r="H8" s="25"/>
      <c r="I8" s="25"/>
      <c r="J8" s="7"/>
      <c r="K8" s="1"/>
      <c r="L8" s="1"/>
      <c r="N8" s="62">
        <v>1999</v>
      </c>
      <c r="O8" s="61">
        <v>16.3</v>
      </c>
      <c r="P8" s="61">
        <v>16.3</v>
      </c>
    </row>
    <row r="9" spans="1:16" ht="15">
      <c r="A9" s="35"/>
      <c r="B9" s="28">
        <v>1700</v>
      </c>
      <c r="C9" s="25" t="s">
        <v>13</v>
      </c>
      <c r="D9" s="25"/>
      <c r="E9" s="25"/>
      <c r="F9" s="27">
        <v>0.02</v>
      </c>
      <c r="G9" s="25" t="s">
        <v>14</v>
      </c>
      <c r="H9" s="25"/>
      <c r="I9" s="25"/>
      <c r="J9" s="7"/>
      <c r="K9" s="1"/>
      <c r="L9" s="1"/>
      <c r="N9" s="62">
        <v>2000</v>
      </c>
      <c r="O9" s="61">
        <v>13.9</v>
      </c>
      <c r="P9" s="61">
        <v>13.9</v>
      </c>
    </row>
    <row r="10" spans="1:16" ht="15">
      <c r="A10" s="35"/>
      <c r="B10" s="28">
        <v>1500</v>
      </c>
      <c r="C10" s="25" t="s">
        <v>15</v>
      </c>
      <c r="D10" s="25"/>
      <c r="E10" s="25"/>
      <c r="F10" s="27">
        <v>0.01</v>
      </c>
      <c r="G10" s="25" t="s">
        <v>16</v>
      </c>
      <c r="H10" s="25"/>
      <c r="I10" s="25"/>
      <c r="J10" s="7"/>
      <c r="K10" s="1"/>
      <c r="L10" s="1"/>
      <c r="N10" s="62">
        <v>2001</v>
      </c>
      <c r="O10" s="61">
        <v>16.1</v>
      </c>
      <c r="P10" s="61">
        <v>16</v>
      </c>
    </row>
    <row r="11" spans="1:16" ht="15">
      <c r="A11" s="34" t="s">
        <v>17</v>
      </c>
      <c r="B11" s="3" t="s">
        <v>144</v>
      </c>
      <c r="C11" s="3"/>
      <c r="D11" s="3"/>
      <c r="E11" s="3"/>
      <c r="F11" s="3"/>
      <c r="G11" s="3"/>
      <c r="H11" s="3"/>
      <c r="I11" s="3"/>
      <c r="J11" s="4"/>
      <c r="K11" s="1"/>
      <c r="L11" s="1"/>
      <c r="N11" s="62">
        <v>2002</v>
      </c>
      <c r="O11" s="61">
        <v>13.1</v>
      </c>
      <c r="P11" s="61">
        <v>13</v>
      </c>
    </row>
    <row r="12" spans="1:16" ht="15">
      <c r="A12" s="35"/>
      <c r="B12" s="29" t="s">
        <v>184</v>
      </c>
      <c r="C12" s="25"/>
      <c r="D12" s="25"/>
      <c r="E12" s="25"/>
      <c r="F12" s="25"/>
      <c r="G12" s="25"/>
      <c r="H12" s="25"/>
      <c r="I12" s="25"/>
      <c r="J12" s="12"/>
      <c r="K12" s="1"/>
      <c r="L12" s="1"/>
      <c r="N12" s="62">
        <v>2003</v>
      </c>
      <c r="O12" s="61">
        <v>13.1</v>
      </c>
      <c r="P12" s="61">
        <v>13</v>
      </c>
    </row>
    <row r="13" spans="1:16" ht="15">
      <c r="A13" s="34"/>
      <c r="B13" s="3"/>
      <c r="C13" s="3"/>
      <c r="D13" s="3"/>
      <c r="E13" s="3"/>
      <c r="F13" s="3"/>
      <c r="G13" s="3"/>
      <c r="H13" s="3"/>
      <c r="I13" s="3"/>
      <c r="J13" s="7"/>
      <c r="K13" s="47"/>
      <c r="L13" s="48"/>
      <c r="N13" s="62">
        <v>2004</v>
      </c>
      <c r="O13" s="61">
        <v>16.8</v>
      </c>
      <c r="P13" s="61">
        <v>16.5</v>
      </c>
    </row>
    <row r="14" spans="1:16" ht="15">
      <c r="A14" s="35"/>
      <c r="B14" s="25" t="s">
        <v>18</v>
      </c>
      <c r="C14" s="25"/>
      <c r="D14" s="25"/>
      <c r="E14" s="25"/>
      <c r="F14" s="25" t="s">
        <v>19</v>
      </c>
      <c r="G14" s="30" t="s">
        <v>20</v>
      </c>
      <c r="H14" s="30" t="s">
        <v>21</v>
      </c>
      <c r="I14" s="30" t="s">
        <v>22</v>
      </c>
      <c r="J14" s="7"/>
      <c r="K14" s="46" t="s">
        <v>180</v>
      </c>
      <c r="L14" s="5"/>
      <c r="N14" s="62">
        <v>2005</v>
      </c>
      <c r="O14" s="61">
        <v>15.9</v>
      </c>
      <c r="P14" s="61">
        <v>15.7</v>
      </c>
    </row>
    <row r="15" spans="1:16" ht="15">
      <c r="A15" s="36"/>
      <c r="B15" s="8"/>
      <c r="C15" s="8"/>
      <c r="D15" s="8"/>
      <c r="E15" s="8"/>
      <c r="F15" s="8"/>
      <c r="G15" s="8"/>
      <c r="H15" s="20" t="s">
        <v>23</v>
      </c>
      <c r="I15" s="20" t="s">
        <v>24</v>
      </c>
      <c r="J15" s="12"/>
      <c r="K15" s="37" t="s">
        <v>151</v>
      </c>
      <c r="L15" s="9"/>
      <c r="N15" s="62">
        <v>2006</v>
      </c>
      <c r="O15" s="61">
        <v>14.6</v>
      </c>
      <c r="P15" s="61">
        <v>14.4</v>
      </c>
    </row>
    <row r="16" spans="1:12" ht="15">
      <c r="A16" s="36" t="s">
        <v>25</v>
      </c>
      <c r="B16" s="8" t="s">
        <v>26</v>
      </c>
      <c r="C16" s="25"/>
      <c r="D16" s="25"/>
      <c r="E16" s="25"/>
      <c r="F16" s="25"/>
      <c r="G16" s="25"/>
      <c r="H16" s="30" t="s">
        <v>27</v>
      </c>
      <c r="I16" s="30" t="s">
        <v>28</v>
      </c>
      <c r="J16" s="7"/>
      <c r="K16" s="1"/>
      <c r="L16" s="5"/>
    </row>
    <row r="17" spans="1:16" ht="15">
      <c r="A17" s="35"/>
      <c r="B17" s="25" t="s">
        <v>29</v>
      </c>
      <c r="C17" s="25"/>
      <c r="D17" s="25"/>
      <c r="E17" s="25"/>
      <c r="F17" s="25" t="s">
        <v>30</v>
      </c>
      <c r="G17" s="26">
        <f>(B5/100)*G1</f>
        <v>40000</v>
      </c>
      <c r="H17" s="45">
        <f>B6</f>
        <v>16.8</v>
      </c>
      <c r="I17" s="45">
        <f>H17*G17</f>
        <v>672000</v>
      </c>
      <c r="J17" s="7"/>
      <c r="K17" s="11">
        <f>I17/G$17</f>
        <v>16.8</v>
      </c>
      <c r="L17" s="5"/>
      <c r="N17" s="66" t="s">
        <v>185</v>
      </c>
      <c r="O17">
        <f>AVERAGE(O4:O15)</f>
        <v>15.016666666666667</v>
      </c>
      <c r="P17">
        <f>AVERAGE(P4:P15)</f>
        <v>14.941666666666665</v>
      </c>
    </row>
    <row r="18" spans="1:12" ht="15">
      <c r="A18" s="35"/>
      <c r="B18" s="25" t="s">
        <v>31</v>
      </c>
      <c r="C18" s="25"/>
      <c r="D18" s="25"/>
      <c r="E18" s="25"/>
      <c r="F18" s="25" t="s">
        <v>32</v>
      </c>
      <c r="G18" s="25">
        <f>ROUND((($G$1*$F$7)*0.5)-(($G$1*$F$7)*$F$10),0)</f>
        <v>141</v>
      </c>
      <c r="H18" s="45">
        <f>B7</f>
        <v>200</v>
      </c>
      <c r="I18" s="45">
        <f>H18*G18</f>
        <v>28200</v>
      </c>
      <c r="J18" s="7"/>
      <c r="K18" s="11">
        <f>I18/G$17</f>
        <v>0.705</v>
      </c>
      <c r="L18" s="5"/>
    </row>
    <row r="19" spans="1:12" ht="15">
      <c r="A19" s="35"/>
      <c r="B19" s="25" t="s">
        <v>33</v>
      </c>
      <c r="C19" s="25"/>
      <c r="D19" s="25"/>
      <c r="E19" s="25"/>
      <c r="F19" s="25" t="s">
        <v>32</v>
      </c>
      <c r="G19" s="25">
        <f>ROUND(($G$1*$F$5)-($G$1*$F$6),0)</f>
        <v>65</v>
      </c>
      <c r="H19" s="45">
        <f>B8*13</f>
        <v>585</v>
      </c>
      <c r="I19" s="45">
        <f>H19*G19</f>
        <v>38025</v>
      </c>
      <c r="J19" s="7"/>
      <c r="K19" s="11">
        <f>I19/G$17</f>
        <v>0.950625</v>
      </c>
      <c r="L19" s="5"/>
    </row>
    <row r="20" spans="1:14" ht="15.75">
      <c r="A20" s="35"/>
      <c r="B20" s="25" t="s">
        <v>34</v>
      </c>
      <c r="C20" s="25"/>
      <c r="D20" s="25"/>
      <c r="E20" s="25"/>
      <c r="F20" s="25" t="s">
        <v>32</v>
      </c>
      <c r="G20" s="26">
        <f>D72-(G1*F5)</f>
        <v>18</v>
      </c>
      <c r="H20" s="45">
        <f>B10</f>
        <v>1500</v>
      </c>
      <c r="I20" s="53">
        <f>H20*G20</f>
        <v>27000</v>
      </c>
      <c r="J20" s="7"/>
      <c r="K20" s="11">
        <f>I20/G$17</f>
        <v>0.675</v>
      </c>
      <c r="L20" s="5"/>
      <c r="N20" s="65" t="s">
        <v>168</v>
      </c>
    </row>
    <row r="21" spans="1:16" ht="15.75" thickBot="1">
      <c r="A21" s="35"/>
      <c r="B21" s="8" t="s">
        <v>35</v>
      </c>
      <c r="C21" s="8"/>
      <c r="D21" s="25"/>
      <c r="E21" s="25"/>
      <c r="F21" s="25"/>
      <c r="G21" s="26"/>
      <c r="H21" s="45"/>
      <c r="I21" s="54">
        <f>SUM(I17:I20)</f>
        <v>765225</v>
      </c>
      <c r="J21" s="7"/>
      <c r="K21" s="38">
        <f>I21/G$17</f>
        <v>19.130625</v>
      </c>
      <c r="L21" s="49" t="s">
        <v>152</v>
      </c>
      <c r="N21" t="s">
        <v>160</v>
      </c>
      <c r="O21" s="61">
        <f aca="true" t="shared" si="0" ref="O21:P28">+AVERAGE(O4:O8)</f>
        <v>15.34</v>
      </c>
      <c r="P21" s="61">
        <f t="shared" si="0"/>
        <v>15.36</v>
      </c>
    </row>
    <row r="22" spans="1:16" ht="15.75" thickTop="1">
      <c r="A22" s="35"/>
      <c r="B22" s="25"/>
      <c r="C22" s="25"/>
      <c r="D22" s="25"/>
      <c r="E22" s="25"/>
      <c r="F22" s="25"/>
      <c r="G22" s="25"/>
      <c r="H22" s="45"/>
      <c r="I22" s="45"/>
      <c r="J22" s="7"/>
      <c r="K22" s="11"/>
      <c r="L22" s="5"/>
      <c r="N22" t="s">
        <v>157</v>
      </c>
      <c r="O22" s="61">
        <f t="shared" si="0"/>
        <v>15.38</v>
      </c>
      <c r="P22" s="61">
        <f t="shared" si="0"/>
        <v>15.38</v>
      </c>
    </row>
    <row r="23" spans="1:16" ht="15">
      <c r="A23" s="36" t="s">
        <v>36</v>
      </c>
      <c r="B23" s="8" t="s">
        <v>37</v>
      </c>
      <c r="C23" s="8"/>
      <c r="D23" s="25"/>
      <c r="E23" s="25"/>
      <c r="F23" s="25"/>
      <c r="G23" s="26"/>
      <c r="H23" s="45"/>
      <c r="I23" s="45"/>
      <c r="J23" s="7"/>
      <c r="K23" s="11"/>
      <c r="L23" s="5"/>
      <c r="N23" t="s">
        <v>158</v>
      </c>
      <c r="O23" s="61">
        <f t="shared" si="0"/>
        <v>15.38</v>
      </c>
      <c r="P23" s="61">
        <f t="shared" si="0"/>
        <v>15.339999999999998</v>
      </c>
    </row>
    <row r="24" spans="1:16" ht="15">
      <c r="A24" s="35"/>
      <c r="B24" s="25" t="s">
        <v>181</v>
      </c>
      <c r="C24" s="25"/>
      <c r="D24" s="25"/>
      <c r="E24" s="25"/>
      <c r="F24" s="25" t="s">
        <v>38</v>
      </c>
      <c r="G24" s="26">
        <f>I150</f>
        <v>139.61249999999998</v>
      </c>
      <c r="H24" s="45">
        <v>200</v>
      </c>
      <c r="I24" s="45">
        <f aca="true" t="shared" si="1" ref="I24:I40">H24*G24</f>
        <v>27922.499999999996</v>
      </c>
      <c r="J24" s="7"/>
      <c r="K24" s="11">
        <f aca="true" t="shared" si="2" ref="K24:K41">I24/G$17</f>
        <v>0.6980624999999999</v>
      </c>
      <c r="L24" s="5" t="s">
        <v>173</v>
      </c>
      <c r="N24" t="s">
        <v>159</v>
      </c>
      <c r="O24" s="61">
        <f t="shared" si="0"/>
        <v>15.12</v>
      </c>
      <c r="P24" s="61">
        <f t="shared" si="0"/>
        <v>15.080000000000002</v>
      </c>
    </row>
    <row r="25" spans="1:16" ht="15">
      <c r="A25" s="35"/>
      <c r="B25" s="25" t="s">
        <v>39</v>
      </c>
      <c r="C25" s="25"/>
      <c r="D25" s="25"/>
      <c r="E25" s="25"/>
      <c r="F25" s="25" t="s">
        <v>38</v>
      </c>
      <c r="G25" s="26">
        <f>I143</f>
        <v>441.54</v>
      </c>
      <c r="H25" s="45">
        <v>210</v>
      </c>
      <c r="I25" s="45">
        <f t="shared" si="1"/>
        <v>92723.40000000001</v>
      </c>
      <c r="J25" s="7"/>
      <c r="K25" s="11">
        <f t="shared" si="2"/>
        <v>2.3180850000000004</v>
      </c>
      <c r="L25" s="71" t="s">
        <v>174</v>
      </c>
      <c r="N25" t="s">
        <v>163</v>
      </c>
      <c r="O25" s="61">
        <f t="shared" si="0"/>
        <v>14.5</v>
      </c>
      <c r="P25" s="61">
        <f t="shared" si="0"/>
        <v>14.440000000000001</v>
      </c>
    </row>
    <row r="26" spans="1:16" ht="16.5" thickBot="1">
      <c r="A26" s="35"/>
      <c r="B26" s="25" t="s">
        <v>40</v>
      </c>
      <c r="C26" s="25"/>
      <c r="D26" s="25"/>
      <c r="E26" s="25"/>
      <c r="F26" s="25" t="s">
        <v>38</v>
      </c>
      <c r="G26" s="26">
        <f>I144</f>
        <v>453.805</v>
      </c>
      <c r="H26" s="45">
        <v>220</v>
      </c>
      <c r="I26" s="45">
        <f t="shared" si="1"/>
        <v>99837.1</v>
      </c>
      <c r="J26" s="7"/>
      <c r="K26" s="11">
        <f t="shared" si="2"/>
        <v>2.4959275</v>
      </c>
      <c r="L26" s="72">
        <f>SUM(K24:K27)</f>
        <v>6.6892000000000005</v>
      </c>
      <c r="N26" t="s">
        <v>164</v>
      </c>
      <c r="O26" s="61">
        <f t="shared" si="0"/>
        <v>14.6</v>
      </c>
      <c r="P26" s="61">
        <f t="shared" si="0"/>
        <v>14.48</v>
      </c>
    </row>
    <row r="27" spans="1:16" ht="15.75" thickTop="1">
      <c r="A27" s="35"/>
      <c r="B27" s="25" t="s">
        <v>41</v>
      </c>
      <c r="C27" s="25"/>
      <c r="D27" s="25"/>
      <c r="E27" s="25"/>
      <c r="F27" s="25" t="s">
        <v>38</v>
      </c>
      <c r="G27" s="26">
        <f>I152</f>
        <v>117.7125</v>
      </c>
      <c r="H27" s="45">
        <v>400</v>
      </c>
      <c r="I27" s="45">
        <f t="shared" si="1"/>
        <v>47085</v>
      </c>
      <c r="J27" s="7"/>
      <c r="K27" s="11">
        <f t="shared" si="2"/>
        <v>1.177125</v>
      </c>
      <c r="L27" s="5"/>
      <c r="N27" t="s">
        <v>167</v>
      </c>
      <c r="O27" s="61">
        <f t="shared" si="0"/>
        <v>15.000000000000004</v>
      </c>
      <c r="P27" s="61">
        <f t="shared" si="0"/>
        <v>14.84</v>
      </c>
    </row>
    <row r="28" spans="1:16" ht="15">
      <c r="A28" s="35"/>
      <c r="B28" s="25" t="s">
        <v>188</v>
      </c>
      <c r="C28" s="25"/>
      <c r="D28" s="25"/>
      <c r="E28" s="25"/>
      <c r="F28" s="25" t="s">
        <v>38</v>
      </c>
      <c r="G28" s="31">
        <f>I140</f>
        <v>400.60249999999996</v>
      </c>
      <c r="H28" s="45">
        <f>314.4/5</f>
        <v>62.879999999999995</v>
      </c>
      <c r="I28" s="45">
        <f t="shared" si="1"/>
        <v>25189.885199999997</v>
      </c>
      <c r="J28" s="7"/>
      <c r="K28" s="11">
        <f t="shared" si="2"/>
        <v>0.6297471299999999</v>
      </c>
      <c r="L28" s="5" t="s">
        <v>175</v>
      </c>
      <c r="N28" t="s">
        <v>186</v>
      </c>
      <c r="O28" s="61">
        <f t="shared" si="0"/>
        <v>14.7</v>
      </c>
      <c r="P28" s="61">
        <f t="shared" si="0"/>
        <v>14.520000000000001</v>
      </c>
    </row>
    <row r="29" spans="1:12" ht="15">
      <c r="A29" s="35"/>
      <c r="B29" s="25" t="s">
        <v>189</v>
      </c>
      <c r="C29" s="25"/>
      <c r="D29" s="25"/>
      <c r="E29" s="25"/>
      <c r="F29" s="25" t="s">
        <v>38</v>
      </c>
      <c r="G29" s="26">
        <f>I133</f>
        <v>1799.88875</v>
      </c>
      <c r="H29" s="45">
        <f>263.04/13</f>
        <v>20.233846153846155</v>
      </c>
      <c r="I29" s="45">
        <f t="shared" si="1"/>
        <v>36418.67206153846</v>
      </c>
      <c r="J29" s="7"/>
      <c r="K29" s="11">
        <f t="shared" si="2"/>
        <v>0.9104668015384616</v>
      </c>
      <c r="L29" s="71" t="s">
        <v>176</v>
      </c>
    </row>
    <row r="30" spans="1:14" ht="16.5" thickBot="1">
      <c r="A30" s="35"/>
      <c r="B30" s="25" t="s">
        <v>190</v>
      </c>
      <c r="C30" s="25"/>
      <c r="D30" s="25"/>
      <c r="E30" s="25"/>
      <c r="F30" s="25" t="s">
        <v>42</v>
      </c>
      <c r="G30" s="26">
        <v>150</v>
      </c>
      <c r="H30" s="45">
        <v>136.94</v>
      </c>
      <c r="I30" s="45">
        <f t="shared" si="1"/>
        <v>20541</v>
      </c>
      <c r="J30" s="7"/>
      <c r="K30" s="11">
        <f t="shared" si="2"/>
        <v>0.513525</v>
      </c>
      <c r="L30" s="72">
        <f>SUM(K28:K31)</f>
        <v>2.7811264315384614</v>
      </c>
      <c r="N30" s="65" t="s">
        <v>165</v>
      </c>
    </row>
    <row r="31" spans="1:16" ht="15.75" thickTop="1">
      <c r="A31" s="35"/>
      <c r="B31" s="25" t="s">
        <v>191</v>
      </c>
      <c r="C31" s="25"/>
      <c r="D31" s="25"/>
      <c r="E31" s="25"/>
      <c r="F31" s="25" t="s">
        <v>42</v>
      </c>
      <c r="G31" s="26">
        <v>150</v>
      </c>
      <c r="H31" s="45">
        <v>193.97</v>
      </c>
      <c r="I31" s="45">
        <f t="shared" si="1"/>
        <v>29095.5</v>
      </c>
      <c r="J31" s="7"/>
      <c r="K31" s="11">
        <f t="shared" si="2"/>
        <v>0.7273875</v>
      </c>
      <c r="L31" s="5"/>
      <c r="N31" t="s">
        <v>161</v>
      </c>
      <c r="O31" s="61">
        <f aca="true" t="shared" si="3" ref="O31:P35">AVERAGE(O9:O11)</f>
        <v>14.366666666666667</v>
      </c>
      <c r="P31" s="61">
        <f t="shared" si="3"/>
        <v>14.299999999999999</v>
      </c>
    </row>
    <row r="32" spans="1:16" ht="15">
      <c r="A32" s="35"/>
      <c r="B32" s="25" t="s">
        <v>170</v>
      </c>
      <c r="C32" s="25"/>
      <c r="D32" s="25"/>
      <c r="E32" s="25"/>
      <c r="F32" s="25" t="s">
        <v>32</v>
      </c>
      <c r="G32" s="26">
        <f>D71+D72</f>
        <v>343</v>
      </c>
      <c r="H32" s="45">
        <f>15*2.2</f>
        <v>33</v>
      </c>
      <c r="I32" s="45">
        <f t="shared" si="1"/>
        <v>11319</v>
      </c>
      <c r="J32" s="7"/>
      <c r="K32" s="11">
        <f t="shared" si="2"/>
        <v>0.282975</v>
      </c>
      <c r="L32" s="5" t="s">
        <v>177</v>
      </c>
      <c r="N32" t="s">
        <v>162</v>
      </c>
      <c r="O32" s="61">
        <f t="shared" si="3"/>
        <v>14.100000000000001</v>
      </c>
      <c r="P32" s="61">
        <f t="shared" si="3"/>
        <v>14</v>
      </c>
    </row>
    <row r="33" spans="1:16" ht="15">
      <c r="A33" s="35"/>
      <c r="B33" s="25" t="s">
        <v>182</v>
      </c>
      <c r="C33" s="25"/>
      <c r="D33" s="25"/>
      <c r="E33" s="25"/>
      <c r="F33" s="25" t="s">
        <v>43</v>
      </c>
      <c r="G33" s="26">
        <f>G1</f>
        <v>250</v>
      </c>
      <c r="H33" s="45">
        <f>1.2*12</f>
        <v>14.399999999999999</v>
      </c>
      <c r="I33" s="45">
        <f t="shared" si="1"/>
        <v>3599.9999999999995</v>
      </c>
      <c r="J33" s="7"/>
      <c r="K33" s="11">
        <f t="shared" si="2"/>
        <v>0.08999999999999998</v>
      </c>
      <c r="L33" s="71" t="s">
        <v>176</v>
      </c>
      <c r="N33" t="s">
        <v>166</v>
      </c>
      <c r="O33" s="61">
        <f t="shared" si="3"/>
        <v>14.333333333333334</v>
      </c>
      <c r="P33" s="61">
        <f t="shared" si="3"/>
        <v>14.166666666666666</v>
      </c>
    </row>
    <row r="34" spans="1:16" ht="16.5" thickBot="1">
      <c r="A34" s="35"/>
      <c r="B34" s="25" t="s">
        <v>44</v>
      </c>
      <c r="C34" s="25"/>
      <c r="D34" s="25"/>
      <c r="E34" s="25"/>
      <c r="F34" s="25" t="s">
        <v>30</v>
      </c>
      <c r="G34" s="26">
        <f>$G$17</f>
        <v>40000</v>
      </c>
      <c r="H34" s="45">
        <v>1</v>
      </c>
      <c r="I34" s="45">
        <f t="shared" si="1"/>
        <v>40000</v>
      </c>
      <c r="J34" s="7"/>
      <c r="K34" s="11">
        <f t="shared" si="2"/>
        <v>1</v>
      </c>
      <c r="L34" s="72">
        <f>L26+L30</f>
        <v>9.470326431538462</v>
      </c>
      <c r="N34" t="s">
        <v>169</v>
      </c>
      <c r="O34" s="61">
        <f t="shared" si="3"/>
        <v>15.266666666666666</v>
      </c>
      <c r="P34" s="61">
        <f t="shared" si="3"/>
        <v>15.066666666666668</v>
      </c>
    </row>
    <row r="35" spans="1:16" ht="15.75" thickTop="1">
      <c r="A35" s="35"/>
      <c r="B35" s="25" t="s">
        <v>45</v>
      </c>
      <c r="C35" s="25"/>
      <c r="D35" s="25"/>
      <c r="E35" s="25"/>
      <c r="F35" s="25" t="s">
        <v>30</v>
      </c>
      <c r="G35" s="26">
        <f>$G$17</f>
        <v>40000</v>
      </c>
      <c r="H35" s="45">
        <v>0.35</v>
      </c>
      <c r="I35" s="45">
        <f t="shared" si="1"/>
        <v>14000</v>
      </c>
      <c r="J35" s="7"/>
      <c r="K35" s="11">
        <f t="shared" si="2"/>
        <v>0.35</v>
      </c>
      <c r="L35" s="5"/>
      <c r="N35" t="s">
        <v>187</v>
      </c>
      <c r="O35" s="61">
        <f t="shared" si="3"/>
        <v>15.766666666666667</v>
      </c>
      <c r="P35" s="61">
        <f t="shared" si="3"/>
        <v>15.533333333333333</v>
      </c>
    </row>
    <row r="36" spans="1:15" ht="15">
      <c r="A36" s="35"/>
      <c r="B36" s="25" t="s">
        <v>46</v>
      </c>
      <c r="C36" s="25"/>
      <c r="D36" s="25"/>
      <c r="E36" s="25"/>
      <c r="F36" s="25" t="s">
        <v>47</v>
      </c>
      <c r="G36" s="26">
        <f>G104</f>
        <v>409000</v>
      </c>
      <c r="H36" s="45">
        <v>0.03</v>
      </c>
      <c r="I36" s="45">
        <f t="shared" si="1"/>
        <v>12270</v>
      </c>
      <c r="J36" s="7"/>
      <c r="K36" s="11">
        <f t="shared" si="2"/>
        <v>0.30675</v>
      </c>
      <c r="L36" s="5" t="s">
        <v>178</v>
      </c>
      <c r="N36" s="45"/>
      <c r="O36" s="28"/>
    </row>
    <row r="37" spans="1:12" ht="15">
      <c r="A37" s="35"/>
      <c r="B37" s="25" t="s">
        <v>48</v>
      </c>
      <c r="C37" s="25"/>
      <c r="D37" s="25"/>
      <c r="E37" s="25"/>
      <c r="F37" s="25" t="s">
        <v>49</v>
      </c>
      <c r="G37" s="26">
        <f>D75</f>
        <v>505</v>
      </c>
      <c r="H37" s="45">
        <v>50</v>
      </c>
      <c r="I37" s="45">
        <f t="shared" si="1"/>
        <v>25250</v>
      </c>
      <c r="J37" s="7"/>
      <c r="K37" s="11">
        <f t="shared" si="2"/>
        <v>0.63125</v>
      </c>
      <c r="L37" s="71" t="s">
        <v>179</v>
      </c>
    </row>
    <row r="38" spans="1:12" ht="16.5" thickBot="1">
      <c r="A38" s="35"/>
      <c r="B38" s="25" t="s">
        <v>50</v>
      </c>
      <c r="C38" s="25"/>
      <c r="D38" s="25"/>
      <c r="E38" s="25"/>
      <c r="F38" s="25" t="s">
        <v>43</v>
      </c>
      <c r="G38" s="26">
        <f>G1</f>
        <v>250</v>
      </c>
      <c r="H38" s="45">
        <v>70</v>
      </c>
      <c r="I38" s="45">
        <f t="shared" si="1"/>
        <v>17500</v>
      </c>
      <c r="J38" s="7"/>
      <c r="K38" s="11">
        <f t="shared" si="2"/>
        <v>0.4375</v>
      </c>
      <c r="L38" s="73">
        <f>L34/K41</f>
        <v>0.5899347379583288</v>
      </c>
    </row>
    <row r="39" spans="1:12" ht="15.75" thickTop="1">
      <c r="A39" s="35"/>
      <c r="B39" s="25" t="s">
        <v>51</v>
      </c>
      <c r="C39" s="25"/>
      <c r="D39" s="25"/>
      <c r="E39" s="25"/>
      <c r="F39" s="25" t="s">
        <v>43</v>
      </c>
      <c r="G39" s="26">
        <f>G1</f>
        <v>250</v>
      </c>
      <c r="H39" s="45">
        <v>120</v>
      </c>
      <c r="I39" s="45">
        <f t="shared" si="1"/>
        <v>30000</v>
      </c>
      <c r="J39" s="7"/>
      <c r="K39" s="11">
        <f t="shared" si="2"/>
        <v>0.75</v>
      </c>
      <c r="L39" s="5"/>
    </row>
    <row r="40" spans="1:12" ht="15">
      <c r="A40" s="35"/>
      <c r="B40" s="25" t="s">
        <v>171</v>
      </c>
      <c r="C40" s="25"/>
      <c r="D40" s="25"/>
      <c r="E40" s="25"/>
      <c r="F40" s="25" t="s">
        <v>52</v>
      </c>
      <c r="G40" s="26">
        <f>35*G1</f>
        <v>8750</v>
      </c>
      <c r="H40" s="45">
        <f>10*1.25</f>
        <v>12.5</v>
      </c>
      <c r="I40" s="45">
        <f t="shared" si="1"/>
        <v>109375</v>
      </c>
      <c r="J40" s="7"/>
      <c r="K40" s="11">
        <f t="shared" si="2"/>
        <v>2.734375</v>
      </c>
      <c r="L40" s="5"/>
    </row>
    <row r="41" spans="1:12" ht="15.75" thickBot="1">
      <c r="A41" s="35"/>
      <c r="B41" s="8" t="s">
        <v>53</v>
      </c>
      <c r="C41" s="8"/>
      <c r="D41" s="8"/>
      <c r="E41" s="25"/>
      <c r="F41" s="25"/>
      <c r="G41" s="26"/>
      <c r="H41" s="45"/>
      <c r="I41" s="63">
        <f>SUM(I24:I40)</f>
        <v>642127.0572615385</v>
      </c>
      <c r="J41" s="7"/>
      <c r="K41" s="38">
        <f t="shared" si="2"/>
        <v>16.05317643153846</v>
      </c>
      <c r="L41" s="49" t="s">
        <v>152</v>
      </c>
    </row>
    <row r="42" spans="1:12" ht="15.75" thickTop="1">
      <c r="A42" s="35"/>
      <c r="B42" s="25"/>
      <c r="C42" s="25"/>
      <c r="D42" s="25"/>
      <c r="E42" s="25"/>
      <c r="F42" s="25"/>
      <c r="G42" s="25"/>
      <c r="H42" s="45"/>
      <c r="I42" s="45"/>
      <c r="J42" s="7"/>
      <c r="K42" s="11"/>
      <c r="L42" s="5"/>
    </row>
    <row r="43" spans="1:12" ht="15.75" thickBot="1">
      <c r="A43" s="36" t="s">
        <v>54</v>
      </c>
      <c r="B43" s="8" t="s">
        <v>55</v>
      </c>
      <c r="C43" s="8"/>
      <c r="D43" s="8"/>
      <c r="E43" s="8"/>
      <c r="F43" s="25"/>
      <c r="G43" s="25"/>
      <c r="H43" s="45"/>
      <c r="I43" s="54">
        <f>I21-I41</f>
        <v>123097.94273846154</v>
      </c>
      <c r="J43" s="7"/>
      <c r="K43" s="39">
        <f>I43/G$17</f>
        <v>3.0774485684615387</v>
      </c>
      <c r="L43" s="49" t="s">
        <v>152</v>
      </c>
    </row>
    <row r="44" spans="1:12" ht="15.75" thickTop="1">
      <c r="A44" s="35"/>
      <c r="B44" s="25"/>
      <c r="C44" s="25"/>
      <c r="D44" s="25"/>
      <c r="E44" s="25"/>
      <c r="F44" s="25"/>
      <c r="G44" s="25"/>
      <c r="H44" s="45"/>
      <c r="I44" s="45"/>
      <c r="J44" s="7"/>
      <c r="K44" s="11"/>
      <c r="L44" s="5"/>
    </row>
    <row r="45" spans="1:12" ht="15">
      <c r="A45" s="36" t="s">
        <v>56</v>
      </c>
      <c r="B45" s="8" t="s">
        <v>57</v>
      </c>
      <c r="C45" s="8"/>
      <c r="D45" s="25"/>
      <c r="E45" s="25"/>
      <c r="F45" s="25"/>
      <c r="G45" s="26"/>
      <c r="H45" s="45"/>
      <c r="I45" s="45"/>
      <c r="J45" s="7"/>
      <c r="K45" s="11"/>
      <c r="L45" s="5"/>
    </row>
    <row r="46" spans="1:12" ht="15">
      <c r="A46" s="35"/>
      <c r="B46" s="25" t="s">
        <v>58</v>
      </c>
      <c r="C46" s="25"/>
      <c r="D46" s="25"/>
      <c r="E46" s="25"/>
      <c r="F46" s="31"/>
      <c r="G46" s="26"/>
      <c r="H46" s="45"/>
      <c r="I46" s="45"/>
      <c r="J46" s="7"/>
      <c r="K46" s="11"/>
      <c r="L46" s="5"/>
    </row>
    <row r="47" spans="1:12" ht="15">
      <c r="A47" s="35"/>
      <c r="B47" s="25" t="s">
        <v>192</v>
      </c>
      <c r="C47" s="25"/>
      <c r="D47" s="25"/>
      <c r="E47" s="25"/>
      <c r="F47" s="25" t="s">
        <v>42</v>
      </c>
      <c r="G47" s="31">
        <f>G29/13</f>
        <v>138.45298076923078</v>
      </c>
      <c r="H47" s="45">
        <v>40.73</v>
      </c>
      <c r="I47" s="45">
        <f>H47*G47</f>
        <v>5639.1899067307695</v>
      </c>
      <c r="J47" s="7"/>
      <c r="K47" s="11">
        <f aca="true" t="shared" si="4" ref="K47:K57">I47/G$17</f>
        <v>0.14097974766826923</v>
      </c>
      <c r="L47" s="5"/>
    </row>
    <row r="48" spans="1:12" ht="15">
      <c r="A48" s="35"/>
      <c r="B48" s="25" t="s">
        <v>193</v>
      </c>
      <c r="C48" s="25"/>
      <c r="D48" s="25"/>
      <c r="E48" s="25"/>
      <c r="F48" s="25" t="s">
        <v>42</v>
      </c>
      <c r="G48" s="31">
        <f>G30</f>
        <v>150</v>
      </c>
      <c r="H48" s="45">
        <v>28.92</v>
      </c>
      <c r="I48" s="45">
        <f>H48*G48</f>
        <v>4338</v>
      </c>
      <c r="J48" s="7"/>
      <c r="K48" s="11">
        <f t="shared" si="4"/>
        <v>0.10845</v>
      </c>
      <c r="L48" s="5"/>
    </row>
    <row r="49" spans="1:12" ht="15">
      <c r="A49" s="35"/>
      <c r="B49" s="25" t="s">
        <v>194</v>
      </c>
      <c r="C49" s="25"/>
      <c r="D49" s="25"/>
      <c r="E49" s="25"/>
      <c r="F49" s="25" t="s">
        <v>42</v>
      </c>
      <c r="G49" s="31">
        <f>G31</f>
        <v>150</v>
      </c>
      <c r="H49" s="45">
        <v>8.48</v>
      </c>
      <c r="I49" s="45">
        <f>H49*G49</f>
        <v>1272</v>
      </c>
      <c r="J49" s="7"/>
      <c r="K49" s="11">
        <f t="shared" si="4"/>
        <v>0.0318</v>
      </c>
      <c r="L49" s="5"/>
    </row>
    <row r="50" spans="1:12" ht="15">
      <c r="A50" s="35"/>
      <c r="B50" s="25" t="s">
        <v>195</v>
      </c>
      <c r="C50" s="25"/>
      <c r="D50" s="25"/>
      <c r="E50" s="25"/>
      <c r="F50" s="25" t="s">
        <v>42</v>
      </c>
      <c r="G50" s="31">
        <f>G28/5</f>
        <v>80.12049999999999</v>
      </c>
      <c r="H50" s="45">
        <v>70.68</v>
      </c>
      <c r="I50" s="45">
        <f>H50*G50</f>
        <v>5662.91694</v>
      </c>
      <c r="J50" s="7"/>
      <c r="K50" s="11">
        <f t="shared" si="4"/>
        <v>0.1415729235</v>
      </c>
      <c r="L50" s="5"/>
    </row>
    <row r="51" spans="1:12" ht="15">
      <c r="A51" s="35"/>
      <c r="B51" s="25" t="s">
        <v>59</v>
      </c>
      <c r="C51" s="25"/>
      <c r="D51" s="25"/>
      <c r="E51" s="25"/>
      <c r="F51" s="25"/>
      <c r="G51" s="31"/>
      <c r="H51" s="45"/>
      <c r="I51" s="45">
        <f>I104</f>
        <v>35633.33333333333</v>
      </c>
      <c r="J51" s="7"/>
      <c r="K51" s="11">
        <f t="shared" si="4"/>
        <v>0.8908333333333333</v>
      </c>
      <c r="L51" s="5"/>
    </row>
    <row r="52" spans="1:12" ht="15">
      <c r="A52" s="35"/>
      <c r="B52" s="25" t="s">
        <v>60</v>
      </c>
      <c r="C52" s="25"/>
      <c r="D52" s="25"/>
      <c r="E52" s="25"/>
      <c r="F52" s="25"/>
      <c r="G52" s="25"/>
      <c r="H52" s="45"/>
      <c r="I52" s="45">
        <f>G110</f>
        <v>21063.5</v>
      </c>
      <c r="J52" s="7"/>
      <c r="K52" s="11">
        <f t="shared" si="4"/>
        <v>0.5265875</v>
      </c>
      <c r="L52" s="5"/>
    </row>
    <row r="53" spans="1:12" ht="15">
      <c r="A53" s="35"/>
      <c r="B53" s="25" t="s">
        <v>61</v>
      </c>
      <c r="C53" s="25"/>
      <c r="D53" s="25"/>
      <c r="E53" s="25"/>
      <c r="F53" s="25"/>
      <c r="G53" s="25"/>
      <c r="H53" s="45"/>
      <c r="I53" s="45">
        <f>G82</f>
        <v>34402</v>
      </c>
      <c r="J53" s="7"/>
      <c r="K53" s="11">
        <f t="shared" si="4"/>
        <v>0.86005</v>
      </c>
      <c r="L53" s="5"/>
    </row>
    <row r="54" spans="1:12" ht="15">
      <c r="A54" s="35"/>
      <c r="B54" s="25" t="s">
        <v>62</v>
      </c>
      <c r="C54" s="25"/>
      <c r="D54" s="25"/>
      <c r="E54" s="25"/>
      <c r="F54" s="25"/>
      <c r="G54" s="25"/>
      <c r="H54" s="45"/>
      <c r="I54" s="45">
        <v>3000</v>
      </c>
      <c r="J54" s="7"/>
      <c r="K54" s="11">
        <f t="shared" si="4"/>
        <v>0.075</v>
      </c>
      <c r="L54" s="5"/>
    </row>
    <row r="55" spans="1:12" ht="15">
      <c r="A55" s="35"/>
      <c r="B55" s="25" t="s">
        <v>63</v>
      </c>
      <c r="C55" s="25"/>
      <c r="D55" s="25"/>
      <c r="E55" s="25"/>
      <c r="F55" s="25" t="s">
        <v>64</v>
      </c>
      <c r="G55" s="26">
        <f>G1</f>
        <v>250</v>
      </c>
      <c r="H55" s="45">
        <v>15</v>
      </c>
      <c r="I55" s="45">
        <f>H55*G55</f>
        <v>3750</v>
      </c>
      <c r="J55" s="7"/>
      <c r="K55" s="11">
        <f t="shared" si="4"/>
        <v>0.09375</v>
      </c>
      <c r="L55" s="5"/>
    </row>
    <row r="56" spans="1:12" ht="15">
      <c r="A56" s="35"/>
      <c r="B56" s="25" t="s">
        <v>65</v>
      </c>
      <c r="C56" s="25"/>
      <c r="D56" s="25"/>
      <c r="E56" s="25"/>
      <c r="F56" s="25" t="s">
        <v>64</v>
      </c>
      <c r="G56" s="26">
        <f>G1</f>
        <v>250</v>
      </c>
      <c r="H56" s="45">
        <v>18</v>
      </c>
      <c r="I56" s="53">
        <f>H56*G56</f>
        <v>4500</v>
      </c>
      <c r="J56" s="7"/>
      <c r="K56" s="40">
        <f t="shared" si="4"/>
        <v>0.1125</v>
      </c>
      <c r="L56" s="50"/>
    </row>
    <row r="57" spans="1:12" ht="15.75" thickBot="1">
      <c r="A57" s="35"/>
      <c r="B57" s="8" t="s">
        <v>66</v>
      </c>
      <c r="C57" s="8"/>
      <c r="D57" s="8"/>
      <c r="E57" s="25"/>
      <c r="F57" s="25"/>
      <c r="G57" s="25"/>
      <c r="H57" s="45"/>
      <c r="I57" s="54">
        <f>SUM(I47:I56)</f>
        <v>119260.94018006409</v>
      </c>
      <c r="J57" s="7"/>
      <c r="K57" s="41">
        <f t="shared" si="4"/>
        <v>2.9815235045016024</v>
      </c>
      <c r="L57" s="49" t="s">
        <v>152</v>
      </c>
    </row>
    <row r="58" spans="1:12" ht="15.75" thickTop="1">
      <c r="A58" s="35"/>
      <c r="B58" s="25"/>
      <c r="C58" s="25"/>
      <c r="D58" s="25"/>
      <c r="E58" s="25"/>
      <c r="F58" s="25"/>
      <c r="G58" s="25"/>
      <c r="H58" s="45"/>
      <c r="I58" s="45"/>
      <c r="J58" s="7"/>
      <c r="K58" s="40"/>
      <c r="L58" s="50"/>
    </row>
    <row r="59" spans="1:12" ht="15.75" thickBot="1">
      <c r="A59" s="36" t="s">
        <v>67</v>
      </c>
      <c r="B59" s="8" t="s">
        <v>68</v>
      </c>
      <c r="C59" s="8"/>
      <c r="D59" s="8"/>
      <c r="E59" s="25"/>
      <c r="F59" s="25"/>
      <c r="G59" s="25"/>
      <c r="H59" s="45"/>
      <c r="I59" s="54">
        <f>I21-I41-I57</f>
        <v>3837.0025583974493</v>
      </c>
      <c r="J59" s="7"/>
      <c r="K59" s="42">
        <f>I59/G$17</f>
        <v>0.09592506395993623</v>
      </c>
      <c r="L59" s="49" t="s">
        <v>152</v>
      </c>
    </row>
    <row r="60" spans="1:12" ht="15.75" thickTop="1">
      <c r="A60" s="35"/>
      <c r="B60" s="25"/>
      <c r="C60" s="25"/>
      <c r="D60" s="25"/>
      <c r="E60" s="25"/>
      <c r="F60" s="25"/>
      <c r="G60" s="25"/>
      <c r="H60" s="45"/>
      <c r="I60" s="45"/>
      <c r="J60" s="7"/>
      <c r="K60" s="40"/>
      <c r="L60" s="50"/>
    </row>
    <row r="61" spans="1:12" ht="15.75" thickBot="1">
      <c r="A61" s="36" t="s">
        <v>69</v>
      </c>
      <c r="B61" s="8" t="s">
        <v>70</v>
      </c>
      <c r="C61" s="8"/>
      <c r="D61" s="8"/>
      <c r="E61" s="8"/>
      <c r="F61" s="25"/>
      <c r="G61" s="25"/>
      <c r="H61" s="45"/>
      <c r="I61" s="54">
        <f>I59/G1</f>
        <v>15.348010233589797</v>
      </c>
      <c r="J61" s="7"/>
      <c r="K61" s="42">
        <f>(I61*G1)/G$17</f>
        <v>0.09592506395993623</v>
      </c>
      <c r="L61" s="49" t="s">
        <v>152</v>
      </c>
    </row>
    <row r="62" spans="1:12" ht="15.75" thickTop="1">
      <c r="A62" s="36"/>
      <c r="B62" s="8"/>
      <c r="C62" s="8"/>
      <c r="D62" s="8"/>
      <c r="E62" s="8"/>
      <c r="F62" s="20" t="s">
        <v>148</v>
      </c>
      <c r="G62" s="8"/>
      <c r="H62" s="53"/>
      <c r="I62" s="53"/>
      <c r="J62" s="12"/>
      <c r="K62" s="43"/>
      <c r="L62" s="51"/>
    </row>
    <row r="63" spans="1:12" ht="15">
      <c r="A63" s="35"/>
      <c r="B63" s="1"/>
      <c r="C63" s="1"/>
      <c r="D63" s="1"/>
      <c r="E63" s="1"/>
      <c r="F63" s="1"/>
      <c r="G63" s="1"/>
      <c r="H63" s="1"/>
      <c r="I63" s="1"/>
      <c r="J63" s="7"/>
      <c r="L63" s="44"/>
    </row>
    <row r="64" spans="1:12" ht="15">
      <c r="A64" s="34" t="s">
        <v>71</v>
      </c>
      <c r="B64" s="3" t="str">
        <f>B11</f>
        <v>Estimated annual income, expenses, and returns for Grade A 250 Cow Milking Herd </v>
      </c>
      <c r="C64" s="3"/>
      <c r="D64" s="3"/>
      <c r="E64" s="3"/>
      <c r="F64" s="3"/>
      <c r="G64" s="3"/>
      <c r="H64" s="3"/>
      <c r="I64" s="3"/>
      <c r="J64" s="4"/>
      <c r="L64" s="52"/>
    </row>
    <row r="65" spans="1:10" ht="15">
      <c r="A65" s="36"/>
      <c r="B65" s="24" t="str">
        <f>B12</f>
        <v>(223-cow milking unit plus 27 dry cows of large breed), Mississippi, 2007</v>
      </c>
      <c r="C65" s="1"/>
      <c r="D65" s="1"/>
      <c r="E65" s="1"/>
      <c r="F65" s="1"/>
      <c r="G65" s="1"/>
      <c r="H65" s="1"/>
      <c r="I65" s="1"/>
      <c r="J65" s="12"/>
    </row>
    <row r="66" spans="1:10" ht="15">
      <c r="A66" s="35"/>
      <c r="B66" s="3"/>
      <c r="C66" s="3"/>
      <c r="D66" s="3"/>
      <c r="E66" s="3"/>
      <c r="F66" s="3"/>
      <c r="G66" s="3"/>
      <c r="H66" s="3"/>
      <c r="I66" s="3"/>
      <c r="J66" s="4"/>
    </row>
    <row r="67" spans="1:10" ht="15">
      <c r="A67" s="35"/>
      <c r="B67" s="1"/>
      <c r="C67" s="1"/>
      <c r="D67" s="1"/>
      <c r="E67" s="19" t="s">
        <v>72</v>
      </c>
      <c r="F67" s="1"/>
      <c r="G67" s="19" t="s">
        <v>73</v>
      </c>
      <c r="H67" s="1"/>
      <c r="I67" s="1"/>
      <c r="J67" s="7"/>
    </row>
    <row r="68" spans="1:10" ht="15">
      <c r="A68" s="35"/>
      <c r="B68" s="1" t="s">
        <v>74</v>
      </c>
      <c r="C68" s="1"/>
      <c r="D68" s="19" t="s">
        <v>75</v>
      </c>
      <c r="E68" s="19" t="s">
        <v>76</v>
      </c>
      <c r="F68" s="1"/>
      <c r="G68" s="19" t="s">
        <v>76</v>
      </c>
      <c r="H68" s="19" t="s">
        <v>77</v>
      </c>
      <c r="I68" s="1" t="s">
        <v>78</v>
      </c>
      <c r="J68" s="7"/>
    </row>
    <row r="69" spans="1:10" ht="15">
      <c r="A69" s="36"/>
      <c r="B69" s="8"/>
      <c r="C69" s="8"/>
      <c r="D69" s="8"/>
      <c r="E69" s="8"/>
      <c r="F69" s="8"/>
      <c r="G69" s="8"/>
      <c r="H69" s="8"/>
      <c r="I69" s="8"/>
      <c r="J69" s="12"/>
    </row>
    <row r="70" spans="1:10" ht="15">
      <c r="A70" s="35"/>
      <c r="B70" s="1"/>
      <c r="C70" s="1"/>
      <c r="D70" s="1"/>
      <c r="E70" s="19" t="s">
        <v>79</v>
      </c>
      <c r="F70" s="1"/>
      <c r="G70" s="19" t="s">
        <v>79</v>
      </c>
      <c r="H70" s="19" t="s">
        <v>79</v>
      </c>
      <c r="I70" s="19" t="s">
        <v>80</v>
      </c>
      <c r="J70" s="7"/>
    </row>
    <row r="71" spans="1:10" ht="15">
      <c r="A71" s="35"/>
      <c r="B71" s="1" t="s">
        <v>81</v>
      </c>
      <c r="C71" s="1"/>
      <c r="D71" s="13">
        <f>G1</f>
        <v>250</v>
      </c>
      <c r="E71" s="56">
        <f>B9</f>
        <v>1700</v>
      </c>
      <c r="F71" s="56"/>
      <c r="G71" s="56">
        <f>D71*E71</f>
        <v>425000</v>
      </c>
      <c r="H71" s="56">
        <f>H19*D71</f>
        <v>146250</v>
      </c>
      <c r="I71" s="56">
        <v>0</v>
      </c>
      <c r="J71" s="7"/>
    </row>
    <row r="72" spans="1:10" ht="15">
      <c r="A72" s="35"/>
      <c r="B72" s="1" t="s">
        <v>82</v>
      </c>
      <c r="C72" s="1"/>
      <c r="D72" s="10">
        <f>ROUND((((($G$1*$F$7)*0.5)-(($G$1*$F$7)*($F$8+$F$9)))*0.75),0)</f>
        <v>93</v>
      </c>
      <c r="E72" s="56">
        <f>B10</f>
        <v>1500</v>
      </c>
      <c r="F72" s="56"/>
      <c r="G72" s="56">
        <f>D72*E72</f>
        <v>139500</v>
      </c>
      <c r="H72" s="56">
        <f>G72</f>
        <v>139500</v>
      </c>
      <c r="I72" s="56">
        <v>0</v>
      </c>
      <c r="J72" s="7"/>
    </row>
    <row r="73" spans="1:10" ht="15">
      <c r="A73" s="35"/>
      <c r="B73" s="1" t="s">
        <v>83</v>
      </c>
      <c r="C73" s="1"/>
      <c r="D73" s="10">
        <f>ROUND((((($G$1*$F$7)*0.5)-(($G$1*$F$7)*($F$8)))*0.58),0)</f>
        <v>75</v>
      </c>
      <c r="E73" s="56">
        <v>800</v>
      </c>
      <c r="F73" s="56"/>
      <c r="G73" s="56">
        <f>D73*E73</f>
        <v>60000</v>
      </c>
      <c r="H73" s="56">
        <f>G73</f>
        <v>60000</v>
      </c>
      <c r="I73" s="56">
        <v>0</v>
      </c>
      <c r="J73" s="7"/>
    </row>
    <row r="74" spans="1:10" ht="15">
      <c r="A74" s="35"/>
      <c r="B74" s="1" t="s">
        <v>84</v>
      </c>
      <c r="C74" s="1"/>
      <c r="D74" s="15">
        <f>ROUND((((($G$1*$F$7)*0.5)-(($G$1*$F$7)*$F$8))*0.67),0)</f>
        <v>87</v>
      </c>
      <c r="E74" s="56">
        <v>500</v>
      </c>
      <c r="F74" s="56"/>
      <c r="G74" s="57">
        <f>D74*E74</f>
        <v>43500</v>
      </c>
      <c r="H74" s="57">
        <f>G74</f>
        <v>43500</v>
      </c>
      <c r="I74" s="56">
        <v>0</v>
      </c>
      <c r="J74" s="7"/>
    </row>
    <row r="75" spans="1:10" ht="15.75" thickBot="1">
      <c r="A75" s="35"/>
      <c r="B75" s="1" t="s">
        <v>85</v>
      </c>
      <c r="C75" s="1"/>
      <c r="D75" s="16">
        <f>SUM(D71:D74)</f>
        <v>505</v>
      </c>
      <c r="E75" s="56"/>
      <c r="F75" s="56"/>
      <c r="G75" s="58">
        <f>SUM(G71:G74)</f>
        <v>668000</v>
      </c>
      <c r="H75" s="58">
        <f>SUM(H71:H74)</f>
        <v>389250</v>
      </c>
      <c r="I75" s="56"/>
      <c r="J75" s="7"/>
    </row>
    <row r="76" spans="1:10" ht="15.75" thickTop="1">
      <c r="A76" s="35"/>
      <c r="B76" s="1"/>
      <c r="C76" s="1"/>
      <c r="D76" s="1"/>
      <c r="E76" s="1"/>
      <c r="F76" s="1"/>
      <c r="G76" s="1"/>
      <c r="H76" s="1"/>
      <c r="I76" s="1"/>
      <c r="J76" s="7"/>
    </row>
    <row r="77" spans="1:10" ht="15">
      <c r="A77" s="35"/>
      <c r="B77" s="1"/>
      <c r="C77" s="1"/>
      <c r="D77" s="1"/>
      <c r="E77" s="1"/>
      <c r="F77" s="1"/>
      <c r="G77" s="1"/>
      <c r="H77" s="1"/>
      <c r="I77" s="1"/>
      <c r="J77" s="7"/>
    </row>
    <row r="78" spans="1:10" ht="15.75" thickBot="1">
      <c r="A78" s="35"/>
      <c r="B78" s="1" t="s">
        <v>86</v>
      </c>
      <c r="C78" s="1"/>
      <c r="D78" s="1"/>
      <c r="E78" s="1"/>
      <c r="F78" s="1"/>
      <c r="G78" s="1"/>
      <c r="H78" s="1"/>
      <c r="I78" s="6">
        <v>0</v>
      </c>
      <c r="J78" s="7"/>
    </row>
    <row r="79" spans="1:10" ht="15.75" thickTop="1">
      <c r="A79" s="35"/>
      <c r="B79" s="1"/>
      <c r="C79" s="1"/>
      <c r="D79" s="1"/>
      <c r="E79" s="1"/>
      <c r="F79" s="1"/>
      <c r="G79" s="1"/>
      <c r="H79" s="10"/>
      <c r="I79" s="10"/>
      <c r="J79" s="7"/>
    </row>
    <row r="80" spans="1:10" ht="15">
      <c r="A80" s="35"/>
      <c r="B80" s="1" t="s">
        <v>87</v>
      </c>
      <c r="C80" s="1"/>
      <c r="D80" s="1"/>
      <c r="E80" s="1"/>
      <c r="F80" s="1"/>
      <c r="G80" s="18">
        <v>0.0515</v>
      </c>
      <c r="H80" s="10"/>
      <c r="I80" s="10"/>
      <c r="J80" s="7"/>
    </row>
    <row r="81" spans="1:10" ht="15">
      <c r="A81" s="35"/>
      <c r="B81" s="1"/>
      <c r="C81" s="1"/>
      <c r="D81" s="1"/>
      <c r="E81" s="1"/>
      <c r="F81" s="1"/>
      <c r="G81" s="1"/>
      <c r="H81" s="1"/>
      <c r="I81" s="1"/>
      <c r="J81" s="7"/>
    </row>
    <row r="82" spans="1:10" ht="15.75" thickBot="1">
      <c r="A82" s="35"/>
      <c r="B82" s="1" t="s">
        <v>88</v>
      </c>
      <c r="C82" s="1"/>
      <c r="D82" s="1"/>
      <c r="E82" s="1"/>
      <c r="F82" s="1"/>
      <c r="G82" s="55">
        <f>G75*G80</f>
        <v>34402</v>
      </c>
      <c r="H82" s="1"/>
      <c r="I82" s="1"/>
      <c r="J82" s="7"/>
    </row>
    <row r="83" spans="1:10" ht="15.75" thickTop="1">
      <c r="A83" s="35"/>
      <c r="B83" s="1"/>
      <c r="C83" s="1"/>
      <c r="D83" s="1"/>
      <c r="E83" s="1"/>
      <c r="F83" s="1"/>
      <c r="G83" s="1"/>
      <c r="H83" s="1"/>
      <c r="I83" s="1"/>
      <c r="J83" s="7"/>
    </row>
    <row r="84" spans="1:10" ht="15">
      <c r="A84" s="35"/>
      <c r="B84" s="1"/>
      <c r="C84" s="1"/>
      <c r="D84" s="1"/>
      <c r="E84" s="1"/>
      <c r="F84" s="1"/>
      <c r="G84" s="1"/>
      <c r="H84" s="1"/>
      <c r="I84" s="1"/>
      <c r="J84" s="7"/>
    </row>
    <row r="85" spans="1:10" ht="15">
      <c r="A85" s="35"/>
      <c r="B85" s="1"/>
      <c r="C85" s="1"/>
      <c r="D85" s="1"/>
      <c r="E85" s="1"/>
      <c r="F85" s="1"/>
      <c r="G85" s="1"/>
      <c r="H85" s="1"/>
      <c r="I85" s="1"/>
      <c r="J85" s="7"/>
    </row>
    <row r="86" spans="1:10" ht="15">
      <c r="A86" s="36"/>
      <c r="B86" s="8"/>
      <c r="C86" s="8"/>
      <c r="D86" s="8"/>
      <c r="E86" s="8"/>
      <c r="F86" s="8"/>
      <c r="G86" s="8"/>
      <c r="H86" s="8"/>
      <c r="I86" s="8"/>
      <c r="J86" s="12"/>
    </row>
    <row r="87" spans="1:10" ht="15">
      <c r="A87" s="35"/>
      <c r="B87" s="1"/>
      <c r="C87" s="1"/>
      <c r="D87" s="1"/>
      <c r="E87" s="1"/>
      <c r="F87" s="1"/>
      <c r="G87" s="1"/>
      <c r="H87" s="1"/>
      <c r="I87" s="1"/>
      <c r="J87" s="7"/>
    </row>
    <row r="88" spans="1:10" ht="15">
      <c r="A88" s="35"/>
      <c r="B88" s="1"/>
      <c r="C88" s="1"/>
      <c r="D88" s="1"/>
      <c r="E88" s="1"/>
      <c r="F88" s="1"/>
      <c r="G88" s="1"/>
      <c r="H88" s="1"/>
      <c r="I88" s="1"/>
      <c r="J88" s="7"/>
    </row>
    <row r="89" spans="1:10" ht="15">
      <c r="A89" s="34" t="s">
        <v>89</v>
      </c>
      <c r="B89" s="3" t="str">
        <f>B11</f>
        <v>Estimated annual income, expenses, and returns for Grade A 250 Cow Milking Herd </v>
      </c>
      <c r="C89" s="3"/>
      <c r="D89" s="3"/>
      <c r="E89" s="3"/>
      <c r="F89" s="3"/>
      <c r="G89" s="3"/>
      <c r="H89" s="3"/>
      <c r="I89" s="3"/>
      <c r="J89" s="4"/>
    </row>
    <row r="90" spans="1:10" ht="15">
      <c r="A90" s="35"/>
      <c r="B90" s="24" t="str">
        <f>B12</f>
        <v>(223-cow milking unit plus 27 dry cows of large breed), Mississippi, 2007</v>
      </c>
      <c r="C90" s="1"/>
      <c r="D90" s="1"/>
      <c r="E90" s="1"/>
      <c r="F90" s="1"/>
      <c r="G90" s="1"/>
      <c r="H90" s="1"/>
      <c r="I90" s="1"/>
      <c r="J90" s="7"/>
    </row>
    <row r="91" spans="1:10" ht="15">
      <c r="A91" s="34"/>
      <c r="B91" s="3"/>
      <c r="C91" s="3"/>
      <c r="D91" s="3"/>
      <c r="E91" s="3"/>
      <c r="F91" s="3"/>
      <c r="G91" s="3"/>
      <c r="H91" s="3"/>
      <c r="I91" s="3"/>
      <c r="J91" s="4"/>
    </row>
    <row r="92" spans="1:10" ht="15">
      <c r="A92" s="35"/>
      <c r="B92" s="1" t="s">
        <v>90</v>
      </c>
      <c r="C92" s="1"/>
      <c r="D92" s="1"/>
      <c r="E92" s="19" t="s">
        <v>91</v>
      </c>
      <c r="F92" s="1"/>
      <c r="G92" s="19" t="s">
        <v>73</v>
      </c>
      <c r="H92" s="1"/>
      <c r="I92" s="1"/>
      <c r="J92" s="7"/>
    </row>
    <row r="93" spans="1:10" ht="15">
      <c r="A93" s="35"/>
      <c r="B93" s="1" t="s">
        <v>92</v>
      </c>
      <c r="C93" s="1"/>
      <c r="D93" s="19" t="s">
        <v>75</v>
      </c>
      <c r="E93" s="19" t="s">
        <v>76</v>
      </c>
      <c r="F93" s="19" t="s">
        <v>93</v>
      </c>
      <c r="G93" s="19" t="s">
        <v>76</v>
      </c>
      <c r="H93" s="19" t="s">
        <v>94</v>
      </c>
      <c r="I93" s="1" t="s">
        <v>78</v>
      </c>
      <c r="J93" s="7"/>
    </row>
    <row r="94" spans="1:10" ht="15">
      <c r="A94" s="36"/>
      <c r="B94" s="8"/>
      <c r="C94" s="8"/>
      <c r="D94" s="8"/>
      <c r="E94" s="8"/>
      <c r="F94" s="8"/>
      <c r="G94" s="8"/>
      <c r="H94" s="8"/>
      <c r="I94" s="8"/>
      <c r="J94" s="12"/>
    </row>
    <row r="95" spans="1:10" ht="15">
      <c r="A95" s="35"/>
      <c r="B95" s="1" t="s">
        <v>95</v>
      </c>
      <c r="C95" s="1"/>
      <c r="D95" s="1"/>
      <c r="E95" s="1"/>
      <c r="F95" s="1"/>
      <c r="G95" s="19" t="s">
        <v>96</v>
      </c>
      <c r="H95" s="19" t="s">
        <v>80</v>
      </c>
      <c r="I95" s="19" t="s">
        <v>96</v>
      </c>
      <c r="J95" s="7"/>
    </row>
    <row r="96" spans="1:10" ht="15">
      <c r="A96" s="35"/>
      <c r="B96" s="1" t="s">
        <v>97</v>
      </c>
      <c r="C96" s="1"/>
      <c r="D96" s="1"/>
      <c r="E96" s="10"/>
      <c r="F96" s="13">
        <v>15</v>
      </c>
      <c r="G96" s="56">
        <v>150000</v>
      </c>
      <c r="H96" s="56">
        <v>0</v>
      </c>
      <c r="I96" s="56">
        <f aca="true" t="shared" si="5" ref="I96:I103">G96/F96</f>
        <v>10000</v>
      </c>
      <c r="J96" s="7"/>
    </row>
    <row r="97" spans="1:10" ht="15">
      <c r="A97" s="35"/>
      <c r="B97" s="1" t="s">
        <v>98</v>
      </c>
      <c r="C97" s="1"/>
      <c r="D97" s="1"/>
      <c r="E97" s="10"/>
      <c r="F97" s="13">
        <v>10</v>
      </c>
      <c r="G97" s="56">
        <v>90000</v>
      </c>
      <c r="H97" s="56">
        <v>0</v>
      </c>
      <c r="I97" s="56">
        <f t="shared" si="5"/>
        <v>9000</v>
      </c>
      <c r="J97" s="7"/>
    </row>
    <row r="98" spans="1:10" ht="15">
      <c r="A98" s="35"/>
      <c r="B98" s="1" t="s">
        <v>145</v>
      </c>
      <c r="C98" s="1"/>
      <c r="D98" s="10"/>
      <c r="E98" s="10"/>
      <c r="F98" s="13">
        <v>10</v>
      </c>
      <c r="G98" s="56">
        <v>45000</v>
      </c>
      <c r="H98" s="56">
        <v>0</v>
      </c>
      <c r="I98" s="56">
        <f t="shared" si="5"/>
        <v>4500</v>
      </c>
      <c r="J98" s="7"/>
    </row>
    <row r="99" spans="1:10" ht="15">
      <c r="A99" s="35"/>
      <c r="B99" s="1" t="s">
        <v>99</v>
      </c>
      <c r="C99" s="1"/>
      <c r="D99" s="1"/>
      <c r="E99" s="10"/>
      <c r="F99" s="13">
        <v>10</v>
      </c>
      <c r="G99" s="56">
        <v>35000</v>
      </c>
      <c r="H99" s="56">
        <v>0</v>
      </c>
      <c r="I99" s="56">
        <f t="shared" si="5"/>
        <v>3500</v>
      </c>
      <c r="J99" s="7"/>
    </row>
    <row r="100" spans="1:10" ht="15">
      <c r="A100" s="35"/>
      <c r="B100" s="1" t="s">
        <v>147</v>
      </c>
      <c r="C100" s="1"/>
      <c r="D100" s="13"/>
      <c r="E100" s="10"/>
      <c r="F100" s="13">
        <v>15</v>
      </c>
      <c r="G100" s="56">
        <v>35000</v>
      </c>
      <c r="H100" s="56">
        <v>0</v>
      </c>
      <c r="I100" s="56">
        <f t="shared" si="5"/>
        <v>2333.3333333333335</v>
      </c>
      <c r="J100" s="7"/>
    </row>
    <row r="101" spans="1:10" ht="15">
      <c r="A101" s="35"/>
      <c r="B101" s="1" t="s">
        <v>146</v>
      </c>
      <c r="C101" s="1"/>
      <c r="D101" s="1"/>
      <c r="E101" s="10"/>
      <c r="F101" s="13">
        <v>10</v>
      </c>
      <c r="G101" s="56">
        <v>20000</v>
      </c>
      <c r="H101" s="56">
        <v>0</v>
      </c>
      <c r="I101" s="56">
        <f t="shared" si="5"/>
        <v>2000</v>
      </c>
      <c r="J101" s="7"/>
    </row>
    <row r="102" spans="1:10" ht="15">
      <c r="A102" s="35"/>
      <c r="B102" s="1" t="s">
        <v>100</v>
      </c>
      <c r="C102" s="1"/>
      <c r="D102" s="1"/>
      <c r="E102" s="10"/>
      <c r="F102" s="13">
        <v>10</v>
      </c>
      <c r="G102" s="56">
        <v>25000</v>
      </c>
      <c r="H102" s="56">
        <v>0</v>
      </c>
      <c r="I102" s="56">
        <f t="shared" si="5"/>
        <v>2500</v>
      </c>
      <c r="J102" s="7"/>
    </row>
    <row r="103" spans="1:10" ht="15">
      <c r="A103" s="35"/>
      <c r="B103" s="1" t="s">
        <v>101</v>
      </c>
      <c r="C103" s="1"/>
      <c r="D103" s="13">
        <v>75</v>
      </c>
      <c r="E103" s="11">
        <v>120</v>
      </c>
      <c r="F103" s="13">
        <v>5</v>
      </c>
      <c r="G103" s="57">
        <f>D103*E103</f>
        <v>9000</v>
      </c>
      <c r="H103" s="56">
        <v>0</v>
      </c>
      <c r="I103" s="57">
        <f t="shared" si="5"/>
        <v>1800</v>
      </c>
      <c r="J103" s="7"/>
    </row>
    <row r="104" spans="1:10" ht="15">
      <c r="A104" s="35"/>
      <c r="B104" s="1" t="s">
        <v>85</v>
      </c>
      <c r="C104" s="1"/>
      <c r="D104" s="1"/>
      <c r="E104" s="1"/>
      <c r="F104" s="13"/>
      <c r="G104" s="56">
        <f>SUM(G96:G103)</f>
        <v>409000</v>
      </c>
      <c r="H104" s="56"/>
      <c r="I104" s="56">
        <f>SUM(I96:I103)</f>
        <v>35633.33333333333</v>
      </c>
      <c r="J104" s="7"/>
    </row>
    <row r="105" spans="1:10" ht="15">
      <c r="A105" s="35"/>
      <c r="B105" s="1"/>
      <c r="C105" s="1"/>
      <c r="D105" s="1"/>
      <c r="E105" s="1"/>
      <c r="F105" s="1"/>
      <c r="G105" s="1"/>
      <c r="H105" s="1"/>
      <c r="I105" s="1"/>
      <c r="J105" s="7"/>
    </row>
    <row r="106" spans="1:10" ht="15.75" thickBot="1">
      <c r="A106" s="35"/>
      <c r="B106" s="1" t="s">
        <v>102</v>
      </c>
      <c r="C106" s="1"/>
      <c r="D106" s="1"/>
      <c r="E106" s="1"/>
      <c r="F106" s="1"/>
      <c r="G106" s="1"/>
      <c r="H106" s="1"/>
      <c r="I106" s="55">
        <f>I104</f>
        <v>35633.33333333333</v>
      </c>
      <c r="J106" s="7"/>
    </row>
    <row r="107" spans="1:10" ht="15.75" thickTop="1">
      <c r="A107" s="35"/>
      <c r="B107" s="1"/>
      <c r="C107" s="1"/>
      <c r="D107" s="1"/>
      <c r="E107" s="1"/>
      <c r="F107" s="1"/>
      <c r="G107" s="1"/>
      <c r="H107" s="1"/>
      <c r="I107" s="1"/>
      <c r="J107" s="7"/>
    </row>
    <row r="108" spans="1:10" ht="15">
      <c r="A108" s="35"/>
      <c r="B108" s="1" t="s">
        <v>87</v>
      </c>
      <c r="C108" s="1"/>
      <c r="D108" s="1"/>
      <c r="E108" s="1"/>
      <c r="F108" s="1"/>
      <c r="G108" s="18">
        <f>G80</f>
        <v>0.0515</v>
      </c>
      <c r="H108" s="1"/>
      <c r="I108" s="1"/>
      <c r="J108" s="7"/>
    </row>
    <row r="109" spans="1:10" ht="15">
      <c r="A109" s="35"/>
      <c r="B109" s="1"/>
      <c r="C109" s="1"/>
      <c r="D109" s="1"/>
      <c r="E109" s="1"/>
      <c r="F109" s="1"/>
      <c r="G109" s="1"/>
      <c r="H109" s="1"/>
      <c r="I109" s="1"/>
      <c r="J109" s="7"/>
    </row>
    <row r="110" spans="1:10" ht="15.75" thickBot="1">
      <c r="A110" s="35"/>
      <c r="B110" s="1" t="s">
        <v>88</v>
      </c>
      <c r="C110" s="1"/>
      <c r="D110" s="1"/>
      <c r="E110" s="1"/>
      <c r="F110" s="1"/>
      <c r="G110" s="55">
        <f>G104*G108</f>
        <v>21063.5</v>
      </c>
      <c r="H110" s="1"/>
      <c r="I110" s="1"/>
      <c r="J110" s="7"/>
    </row>
    <row r="111" spans="1:10" ht="15.75" thickTop="1">
      <c r="A111" s="35"/>
      <c r="B111" s="1"/>
      <c r="C111" s="1"/>
      <c r="D111" s="1"/>
      <c r="E111" s="1"/>
      <c r="F111" s="1"/>
      <c r="G111" s="1"/>
      <c r="H111" s="1"/>
      <c r="I111" s="1"/>
      <c r="J111" s="7"/>
    </row>
    <row r="112" spans="1:10" ht="15">
      <c r="A112" s="35"/>
      <c r="B112" s="1"/>
      <c r="C112" s="1"/>
      <c r="D112" s="1"/>
      <c r="E112" s="1"/>
      <c r="F112" s="1"/>
      <c r="G112" s="1"/>
      <c r="H112" s="1"/>
      <c r="I112" s="1"/>
      <c r="J112" s="7"/>
    </row>
    <row r="113" spans="1:10" ht="15">
      <c r="A113" s="35"/>
      <c r="B113" s="1"/>
      <c r="C113" s="1"/>
      <c r="D113" s="1"/>
      <c r="E113" s="1"/>
      <c r="F113" s="1"/>
      <c r="G113" s="1"/>
      <c r="H113" s="1"/>
      <c r="I113" s="1"/>
      <c r="J113" s="7"/>
    </row>
    <row r="114" spans="1:10" ht="15">
      <c r="A114" s="36"/>
      <c r="B114" s="8"/>
      <c r="C114" s="8"/>
      <c r="D114" s="8"/>
      <c r="E114" s="8"/>
      <c r="F114" s="20" t="s">
        <v>149</v>
      </c>
      <c r="G114" s="8"/>
      <c r="H114" s="8"/>
      <c r="I114" s="8"/>
      <c r="J114" s="12"/>
    </row>
    <row r="115" spans="1:10" ht="15">
      <c r="A115" s="35"/>
      <c r="B115" s="1"/>
      <c r="C115" s="1"/>
      <c r="D115" s="1"/>
      <c r="E115" s="1"/>
      <c r="F115" s="1"/>
      <c r="G115" s="1"/>
      <c r="H115" s="1"/>
      <c r="I115" s="1"/>
      <c r="J115" s="7"/>
    </row>
    <row r="116" spans="1:10" ht="15">
      <c r="A116" s="34" t="s">
        <v>103</v>
      </c>
      <c r="B116" s="3" t="str">
        <f>B11</f>
        <v>Estimated annual income, expenses, and returns for Grade A 250 Cow Milking Herd </v>
      </c>
      <c r="C116" s="3"/>
      <c r="D116" s="3"/>
      <c r="E116" s="3"/>
      <c r="F116" s="3"/>
      <c r="G116" s="3"/>
      <c r="H116" s="3"/>
      <c r="I116" s="3"/>
      <c r="J116" s="4"/>
    </row>
    <row r="117" spans="1:10" ht="15">
      <c r="A117" s="36"/>
      <c r="B117" s="24" t="str">
        <f>B12</f>
        <v>(223-cow milking unit plus 27 dry cows of large breed), Mississippi, 2007</v>
      </c>
      <c r="C117" s="25"/>
      <c r="D117" s="25"/>
      <c r="E117" s="25"/>
      <c r="F117" s="25"/>
      <c r="G117" s="25"/>
      <c r="H117" s="25"/>
      <c r="I117" s="25"/>
      <c r="J117" s="12"/>
    </row>
    <row r="118" spans="1:10" ht="15">
      <c r="A118" s="35"/>
      <c r="B118" s="3"/>
      <c r="C118" s="3"/>
      <c r="D118" s="3"/>
      <c r="E118" s="3"/>
      <c r="F118" s="3"/>
      <c r="G118" s="3"/>
      <c r="H118" s="3"/>
      <c r="I118" s="3"/>
      <c r="J118" s="7"/>
    </row>
    <row r="119" spans="1:10" ht="15">
      <c r="A119" s="35"/>
      <c r="B119" s="25"/>
      <c r="C119" s="25"/>
      <c r="D119" s="25" t="s">
        <v>104</v>
      </c>
      <c r="E119" s="30" t="s">
        <v>105</v>
      </c>
      <c r="F119" s="30" t="s">
        <v>106</v>
      </c>
      <c r="G119" s="30" t="s">
        <v>107</v>
      </c>
      <c r="H119" s="33" t="s">
        <v>108</v>
      </c>
      <c r="I119" s="30" t="s">
        <v>109</v>
      </c>
      <c r="J119" s="7"/>
    </row>
    <row r="120" spans="1:10" ht="15">
      <c r="A120" s="35"/>
      <c r="B120" s="25" t="s">
        <v>18</v>
      </c>
      <c r="C120" s="25"/>
      <c r="D120" s="30" t="s">
        <v>110</v>
      </c>
      <c r="E120" s="30" t="s">
        <v>111</v>
      </c>
      <c r="F120" s="30" t="s">
        <v>112</v>
      </c>
      <c r="G120" s="30" t="s">
        <v>113</v>
      </c>
      <c r="H120" s="30" t="s">
        <v>112</v>
      </c>
      <c r="I120" s="30" t="s">
        <v>114</v>
      </c>
      <c r="J120" s="7"/>
    </row>
    <row r="121" spans="1:10" ht="15">
      <c r="A121" s="36"/>
      <c r="B121" s="8"/>
      <c r="C121" s="8"/>
      <c r="D121" s="8"/>
      <c r="E121" s="8"/>
      <c r="F121" s="8"/>
      <c r="G121" s="8"/>
      <c r="H121" s="8"/>
      <c r="I121" s="8"/>
      <c r="J121" s="12"/>
    </row>
    <row r="122" spans="1:10" ht="15">
      <c r="A122" s="35"/>
      <c r="B122" s="25"/>
      <c r="C122" s="25"/>
      <c r="D122" s="25"/>
      <c r="E122" s="25"/>
      <c r="F122" s="25"/>
      <c r="G122" s="25"/>
      <c r="H122" s="25"/>
      <c r="I122" s="25"/>
      <c r="J122" s="7"/>
    </row>
    <row r="123" spans="1:10" ht="15">
      <c r="A123" s="35"/>
      <c r="B123" s="25" t="s">
        <v>115</v>
      </c>
      <c r="C123" s="25"/>
      <c r="D123" s="25"/>
      <c r="E123" s="25"/>
      <c r="F123" s="25"/>
      <c r="G123" s="25"/>
      <c r="H123" s="25"/>
      <c r="I123" s="26">
        <f>ROUND($G$1-($G$1*0.108),0)</f>
        <v>223</v>
      </c>
      <c r="J123" s="21" t="s">
        <v>32</v>
      </c>
    </row>
    <row r="124" spans="1:10" ht="15">
      <c r="A124" s="35"/>
      <c r="B124" s="25" t="s">
        <v>116</v>
      </c>
      <c r="C124" s="25"/>
      <c r="D124" s="25"/>
      <c r="E124" s="25"/>
      <c r="F124" s="25"/>
      <c r="G124" s="25"/>
      <c r="H124" s="25"/>
      <c r="I124" s="26">
        <f>ROUND($G$1*0.108,0)</f>
        <v>27</v>
      </c>
      <c r="J124" s="7"/>
    </row>
    <row r="125" spans="1:10" ht="15">
      <c r="A125" s="35"/>
      <c r="B125" s="25" t="s">
        <v>117</v>
      </c>
      <c r="C125" s="25"/>
      <c r="D125" s="25"/>
      <c r="E125" s="25"/>
      <c r="F125" s="25"/>
      <c r="G125" s="25"/>
      <c r="H125" s="25"/>
      <c r="I125" s="26">
        <f>ROUND(($I$126-($I$126*$F$9)),0)</f>
        <v>126</v>
      </c>
      <c r="J125" s="7"/>
    </row>
    <row r="126" spans="1:10" ht="15">
      <c r="A126" s="35"/>
      <c r="B126" s="8" t="s">
        <v>118</v>
      </c>
      <c r="C126" s="8"/>
      <c r="D126" s="8"/>
      <c r="E126" s="8"/>
      <c r="F126" s="25"/>
      <c r="G126" s="25"/>
      <c r="H126" s="25"/>
      <c r="I126" s="15">
        <f>ROUND((((($G$1*$F$7)*0.5)-(($G$1*$F$7)*$F$8))),0)</f>
        <v>129</v>
      </c>
      <c r="J126" s="7"/>
    </row>
    <row r="127" spans="1:10" ht="15.75" thickBot="1">
      <c r="A127" s="35"/>
      <c r="B127" s="25" t="s">
        <v>119</v>
      </c>
      <c r="C127" s="25"/>
      <c r="D127" s="25"/>
      <c r="E127" s="25"/>
      <c r="F127" s="25"/>
      <c r="G127" s="25"/>
      <c r="H127" s="25"/>
      <c r="I127" s="17">
        <f>SUM(I123:I126)</f>
        <v>505</v>
      </c>
      <c r="J127" s="21" t="s">
        <v>32</v>
      </c>
    </row>
    <row r="128" spans="1:10" ht="15.75" thickTop="1">
      <c r="A128" s="35"/>
      <c r="B128" s="25"/>
      <c r="C128" s="25"/>
      <c r="D128" s="25"/>
      <c r="E128" s="25"/>
      <c r="F128" s="25"/>
      <c r="G128" s="25"/>
      <c r="H128" s="25"/>
      <c r="I128" s="25"/>
      <c r="J128" s="7"/>
    </row>
    <row r="129" spans="1:10" ht="15">
      <c r="A129" s="35"/>
      <c r="B129" s="8" t="s">
        <v>120</v>
      </c>
      <c r="C129" s="25"/>
      <c r="D129" s="25"/>
      <c r="E129" s="25"/>
      <c r="F129" s="26"/>
      <c r="G129" s="26"/>
      <c r="H129" s="26"/>
      <c r="I129" s="25"/>
      <c r="J129" s="7"/>
    </row>
    <row r="130" spans="1:10" ht="15">
      <c r="A130" s="35"/>
      <c r="B130" s="25" t="s">
        <v>121</v>
      </c>
      <c r="C130" s="25"/>
      <c r="D130" s="25">
        <f>$I$123</f>
        <v>223</v>
      </c>
      <c r="E130" s="31">
        <v>25</v>
      </c>
      <c r="F130" s="31">
        <v>180</v>
      </c>
      <c r="G130" s="26">
        <f>E130*F130</f>
        <v>4500</v>
      </c>
      <c r="H130" s="32">
        <f>(D130*G130)/2000</f>
        <v>501.75</v>
      </c>
      <c r="I130" s="25"/>
      <c r="J130" s="7"/>
    </row>
    <row r="131" spans="1:10" ht="15">
      <c r="A131" s="35"/>
      <c r="B131" s="25" t="s">
        <v>122</v>
      </c>
      <c r="C131" s="25"/>
      <c r="D131" s="25">
        <f>$I$123</f>
        <v>223</v>
      </c>
      <c r="E131" s="31">
        <v>55</v>
      </c>
      <c r="F131" s="31">
        <v>185</v>
      </c>
      <c r="G131" s="26">
        <f>E131*F131</f>
        <v>10175</v>
      </c>
      <c r="H131" s="32">
        <f>(D131*G131)/2000</f>
        <v>1134.5125</v>
      </c>
      <c r="I131" s="25"/>
      <c r="J131" s="7"/>
    </row>
    <row r="132" spans="1:10" ht="15">
      <c r="A132" s="35"/>
      <c r="B132" s="25" t="s">
        <v>123</v>
      </c>
      <c r="C132" s="25"/>
      <c r="D132" s="25">
        <f>$I$123</f>
        <v>223</v>
      </c>
      <c r="E132" s="25"/>
      <c r="F132" s="25"/>
      <c r="G132" s="15">
        <f>SUM(G130:G131)*0.1</f>
        <v>1467.5</v>
      </c>
      <c r="H132" s="32">
        <f>(D132*G132)/2000</f>
        <v>163.62625</v>
      </c>
      <c r="I132" s="25"/>
      <c r="J132" s="7"/>
    </row>
    <row r="133" spans="1:10" ht="15.75" thickBot="1">
      <c r="A133" s="35"/>
      <c r="B133" s="25" t="s">
        <v>124</v>
      </c>
      <c r="C133" s="25"/>
      <c r="D133" s="25"/>
      <c r="E133" s="31"/>
      <c r="F133" s="31"/>
      <c r="G133" s="26">
        <f>SUM(G130:G132)</f>
        <v>16142.5</v>
      </c>
      <c r="H133" s="32"/>
      <c r="I133" s="6">
        <f>SUM(H130:H132)</f>
        <v>1799.88875</v>
      </c>
      <c r="J133" s="21" t="s">
        <v>125</v>
      </c>
    </row>
    <row r="134" spans="1:10" ht="15.75" thickTop="1">
      <c r="A134" s="35"/>
      <c r="B134" s="25"/>
      <c r="C134" s="25"/>
      <c r="D134" s="25"/>
      <c r="E134" s="31"/>
      <c r="F134" s="31"/>
      <c r="G134" s="26"/>
      <c r="H134" s="26"/>
      <c r="I134" s="25"/>
      <c r="J134" s="7"/>
    </row>
    <row r="135" spans="1:10" ht="15">
      <c r="A135" s="35"/>
      <c r="B135" s="8" t="s">
        <v>126</v>
      </c>
      <c r="C135" s="25"/>
      <c r="D135" s="25"/>
      <c r="E135" s="31"/>
      <c r="F135" s="31"/>
      <c r="G135" s="26"/>
      <c r="H135" s="26"/>
      <c r="I135" s="25"/>
      <c r="J135" s="7"/>
    </row>
    <row r="136" spans="1:10" ht="15">
      <c r="A136" s="35"/>
      <c r="B136" s="25" t="s">
        <v>121</v>
      </c>
      <c r="C136" s="25"/>
      <c r="D136" s="25">
        <f>$I$123</f>
        <v>223</v>
      </c>
      <c r="E136" s="31">
        <v>2</v>
      </c>
      <c r="F136" s="31">
        <v>180</v>
      </c>
      <c r="G136" s="26">
        <f>E136*F136</f>
        <v>360</v>
      </c>
      <c r="H136" s="32">
        <f>(D136*G136)/2000</f>
        <v>40.14</v>
      </c>
      <c r="I136" s="25"/>
      <c r="J136" s="7"/>
    </row>
    <row r="137" spans="1:10" ht="15">
      <c r="A137" s="35"/>
      <c r="B137" s="25" t="s">
        <v>122</v>
      </c>
      <c r="C137" s="25"/>
      <c r="D137" s="25">
        <f>$I$123</f>
        <v>223</v>
      </c>
      <c r="E137" s="31">
        <v>5</v>
      </c>
      <c r="F137" s="31">
        <v>185</v>
      </c>
      <c r="G137" s="26">
        <f>E137*F137</f>
        <v>925</v>
      </c>
      <c r="H137" s="32">
        <f>(D137*G137)/2000</f>
        <v>103.1375</v>
      </c>
      <c r="I137" s="25"/>
      <c r="J137" s="7"/>
    </row>
    <row r="138" spans="1:10" ht="15">
      <c r="A138" s="35"/>
      <c r="B138" s="25" t="s">
        <v>127</v>
      </c>
      <c r="C138" s="25"/>
      <c r="D138" s="25">
        <f>$I$124</f>
        <v>27</v>
      </c>
      <c r="E138" s="31">
        <v>5</v>
      </c>
      <c r="F138" s="31">
        <v>365</v>
      </c>
      <c r="G138" s="26">
        <f>E138*F138</f>
        <v>1825</v>
      </c>
      <c r="H138" s="32">
        <f>(D138*G138)/2000</f>
        <v>24.6375</v>
      </c>
      <c r="I138" s="25"/>
      <c r="J138" s="7"/>
    </row>
    <row r="139" spans="1:10" ht="15">
      <c r="A139" s="35"/>
      <c r="B139" s="25" t="s">
        <v>128</v>
      </c>
      <c r="C139" s="25"/>
      <c r="D139" s="25">
        <f>D149+D152</f>
        <v>255</v>
      </c>
      <c r="E139" s="31">
        <v>5</v>
      </c>
      <c r="F139" s="31">
        <v>365</v>
      </c>
      <c r="G139" s="15">
        <f>E139*F139</f>
        <v>1825</v>
      </c>
      <c r="H139" s="32">
        <f>(D139*G139)/2000</f>
        <v>232.6875</v>
      </c>
      <c r="I139" s="25"/>
      <c r="J139" s="7"/>
    </row>
    <row r="140" spans="1:10" ht="15.75" thickBot="1">
      <c r="A140" s="35"/>
      <c r="B140" s="25" t="s">
        <v>129</v>
      </c>
      <c r="C140" s="25"/>
      <c r="D140" s="25"/>
      <c r="E140" s="31"/>
      <c r="F140" s="31">
        <v>0</v>
      </c>
      <c r="G140" s="26">
        <f>SUM(G136:G139)</f>
        <v>4935</v>
      </c>
      <c r="H140" s="32"/>
      <c r="I140" s="6">
        <f>SUM(H136:H139)</f>
        <v>400.60249999999996</v>
      </c>
      <c r="J140" s="21" t="s">
        <v>125</v>
      </c>
    </row>
    <row r="141" spans="1:10" ht="15.75" thickTop="1">
      <c r="A141" s="35"/>
      <c r="B141" s="25"/>
      <c r="C141" s="25"/>
      <c r="D141" s="25"/>
      <c r="E141" s="25"/>
      <c r="F141" s="25"/>
      <c r="G141" s="26"/>
      <c r="H141" s="25"/>
      <c r="I141" s="25"/>
      <c r="J141" s="7"/>
    </row>
    <row r="142" spans="1:10" ht="15">
      <c r="A142" s="35"/>
      <c r="B142" s="8" t="s">
        <v>130</v>
      </c>
      <c r="C142" s="8"/>
      <c r="D142" s="25"/>
      <c r="E142" s="31"/>
      <c r="F142" s="31"/>
      <c r="G142" s="26"/>
      <c r="H142" s="25"/>
      <c r="I142" s="25"/>
      <c r="J142" s="7"/>
    </row>
    <row r="143" spans="1:10" ht="15.75" thickBot="1">
      <c r="A143" s="35"/>
      <c r="B143" s="25" t="s">
        <v>131</v>
      </c>
      <c r="C143" s="25"/>
      <c r="D143" s="25">
        <f>$I$123</f>
        <v>223</v>
      </c>
      <c r="E143" s="31">
        <v>22</v>
      </c>
      <c r="F143" s="31">
        <v>180</v>
      </c>
      <c r="G143" s="26">
        <f>E143*F143</f>
        <v>3960</v>
      </c>
      <c r="H143" s="32">
        <f>(D143*G143)/2000</f>
        <v>441.54</v>
      </c>
      <c r="I143" s="6">
        <f>H143</f>
        <v>441.54</v>
      </c>
      <c r="J143" s="21" t="s">
        <v>125</v>
      </c>
    </row>
    <row r="144" spans="1:10" ht="16.5" thickBot="1" thickTop="1">
      <c r="A144" s="35"/>
      <c r="B144" s="25" t="s">
        <v>132</v>
      </c>
      <c r="C144" s="25"/>
      <c r="D144" s="25">
        <f>$I$123</f>
        <v>223</v>
      </c>
      <c r="E144" s="31">
        <v>22</v>
      </c>
      <c r="F144" s="31">
        <v>185</v>
      </c>
      <c r="G144" s="15">
        <f>E144*F144</f>
        <v>4070</v>
      </c>
      <c r="H144" s="32">
        <f>(D144*G144)/2000</f>
        <v>453.805</v>
      </c>
      <c r="I144" s="6">
        <f>H144</f>
        <v>453.805</v>
      </c>
      <c r="J144" s="21" t="s">
        <v>125</v>
      </c>
    </row>
    <row r="145" spans="1:10" ht="15.75" thickTop="1">
      <c r="A145" s="35"/>
      <c r="B145" s="25" t="s">
        <v>133</v>
      </c>
      <c r="C145" s="25"/>
      <c r="D145" s="25"/>
      <c r="E145" s="31"/>
      <c r="F145" s="31"/>
      <c r="G145" s="26">
        <f>SUM(G143:G144)</f>
        <v>8030</v>
      </c>
      <c r="H145" s="32"/>
      <c r="I145" s="25"/>
      <c r="J145" s="7"/>
    </row>
    <row r="146" spans="1:10" ht="15">
      <c r="A146" s="35"/>
      <c r="B146" s="25"/>
      <c r="C146" s="25"/>
      <c r="D146" s="25"/>
      <c r="E146" s="25"/>
      <c r="F146" s="25"/>
      <c r="G146" s="26"/>
      <c r="H146" s="25"/>
      <c r="I146" s="25"/>
      <c r="J146" s="7"/>
    </row>
    <row r="147" spans="1:10" ht="15">
      <c r="A147" s="35"/>
      <c r="B147" s="8" t="s">
        <v>134</v>
      </c>
      <c r="C147" s="8"/>
      <c r="D147" s="25"/>
      <c r="E147" s="31"/>
      <c r="F147" s="31"/>
      <c r="G147" s="26"/>
      <c r="H147" s="25"/>
      <c r="I147" s="25"/>
      <c r="J147" s="7"/>
    </row>
    <row r="148" spans="1:10" ht="15">
      <c r="A148" s="35"/>
      <c r="B148" s="25" t="s">
        <v>135</v>
      </c>
      <c r="C148" s="25"/>
      <c r="D148" s="25">
        <f>$I$124</f>
        <v>27</v>
      </c>
      <c r="E148" s="31">
        <v>5</v>
      </c>
      <c r="F148" s="31">
        <v>365</v>
      </c>
      <c r="G148" s="26">
        <f>E148*F148</f>
        <v>1825</v>
      </c>
      <c r="H148" s="32">
        <f>(D148*G148)/2000</f>
        <v>24.6375</v>
      </c>
      <c r="I148" s="25"/>
      <c r="J148" s="7"/>
    </row>
    <row r="149" spans="1:10" ht="15">
      <c r="A149" s="35"/>
      <c r="B149" s="25" t="s">
        <v>136</v>
      </c>
      <c r="C149" s="25"/>
      <c r="D149" s="25">
        <f>$I$125</f>
        <v>126</v>
      </c>
      <c r="E149" s="31">
        <v>5</v>
      </c>
      <c r="F149" s="31">
        <v>365</v>
      </c>
      <c r="G149" s="15">
        <f>E149*F149</f>
        <v>1825</v>
      </c>
      <c r="H149" s="32">
        <f>(D149*G149)/2000</f>
        <v>114.975</v>
      </c>
      <c r="I149" s="25"/>
      <c r="J149" s="7"/>
    </row>
    <row r="150" spans="1:10" ht="15.75" thickBot="1">
      <c r="A150" s="35"/>
      <c r="B150" s="25" t="s">
        <v>137</v>
      </c>
      <c r="C150" s="25"/>
      <c r="D150" s="25"/>
      <c r="E150" s="25"/>
      <c r="F150" s="31"/>
      <c r="G150" s="26">
        <f>SUM(G148:G149)</f>
        <v>3650</v>
      </c>
      <c r="H150" s="32"/>
      <c r="I150" s="6">
        <f>SUM(H148:H149)</f>
        <v>139.61249999999998</v>
      </c>
      <c r="J150" s="21" t="s">
        <v>125</v>
      </c>
    </row>
    <row r="151" spans="1:10" ht="15.75" thickTop="1">
      <c r="A151" s="35"/>
      <c r="B151" s="25"/>
      <c r="C151" s="25"/>
      <c r="D151" s="25"/>
      <c r="E151" s="31"/>
      <c r="F151" s="31"/>
      <c r="G151" s="26"/>
      <c r="H151" s="25"/>
      <c r="I151" s="25"/>
      <c r="J151" s="7"/>
    </row>
    <row r="152" spans="1:10" ht="15.75" thickBot="1">
      <c r="A152" s="35"/>
      <c r="B152" s="25" t="s">
        <v>138</v>
      </c>
      <c r="C152" s="25"/>
      <c r="D152" s="25">
        <f>$I$126</f>
        <v>129</v>
      </c>
      <c r="E152" s="25">
        <v>5</v>
      </c>
      <c r="F152" s="31">
        <v>365</v>
      </c>
      <c r="G152" s="26">
        <f>E152*F152</f>
        <v>1825</v>
      </c>
      <c r="H152" s="32">
        <f>(D152*G152)/2000</f>
        <v>117.7125</v>
      </c>
      <c r="I152" s="6">
        <f>H152</f>
        <v>117.7125</v>
      </c>
      <c r="J152" s="21" t="s">
        <v>125</v>
      </c>
    </row>
    <row r="153" spans="1:10" ht="15.75" thickTop="1">
      <c r="A153" s="35"/>
      <c r="B153" s="25" t="s">
        <v>139</v>
      </c>
      <c r="C153" s="25"/>
      <c r="D153" s="25"/>
      <c r="E153" s="25"/>
      <c r="F153" s="25"/>
      <c r="G153" s="25"/>
      <c r="H153" s="25"/>
      <c r="I153" s="25"/>
      <c r="J153" s="7"/>
    </row>
    <row r="154" spans="1:10" ht="15">
      <c r="A154" s="35"/>
      <c r="B154" s="25"/>
      <c r="C154" s="25"/>
      <c r="D154" s="25"/>
      <c r="E154" s="25"/>
      <c r="F154" s="25"/>
      <c r="G154" s="25"/>
      <c r="H154" s="25"/>
      <c r="I154" s="25"/>
      <c r="J154" s="7"/>
    </row>
    <row r="155" spans="1:10" ht="15">
      <c r="A155" s="36"/>
      <c r="B155" s="8"/>
      <c r="C155" s="8"/>
      <c r="D155" s="8"/>
      <c r="E155" s="8"/>
      <c r="F155" s="8"/>
      <c r="G155" s="8"/>
      <c r="H155" s="8"/>
      <c r="I155" s="8"/>
      <c r="J155" s="12"/>
    </row>
    <row r="156" spans="1:10" ht="15">
      <c r="A156" s="35"/>
      <c r="B156" s="25"/>
      <c r="C156" s="25"/>
      <c r="D156" s="25"/>
      <c r="E156" s="25"/>
      <c r="F156" s="25"/>
      <c r="G156" s="25"/>
      <c r="H156" s="25"/>
      <c r="I156" s="25"/>
      <c r="J156" s="7"/>
    </row>
    <row r="157" spans="1:10" ht="15">
      <c r="A157" s="35"/>
      <c r="B157" s="25"/>
      <c r="C157" s="25"/>
      <c r="D157" s="25"/>
      <c r="E157" s="25"/>
      <c r="F157" s="25"/>
      <c r="G157" s="25"/>
      <c r="H157" s="25"/>
      <c r="I157" s="25"/>
      <c r="J157" s="7"/>
    </row>
    <row r="158" spans="1:10" ht="15">
      <c r="A158" s="34" t="s">
        <v>140</v>
      </c>
      <c r="B158" s="3" t="str">
        <f>B11</f>
        <v>Estimated annual income, expenses, and returns for Grade A 250 Cow Milking Herd </v>
      </c>
      <c r="C158" s="3"/>
      <c r="D158" s="3"/>
      <c r="E158" s="3"/>
      <c r="F158" s="3"/>
      <c r="G158" s="3"/>
      <c r="H158" s="3"/>
      <c r="I158" s="3"/>
      <c r="J158" s="4"/>
    </row>
    <row r="159" spans="1:10" ht="15">
      <c r="A159" s="35"/>
      <c r="B159" s="29" t="str">
        <f>B12</f>
        <v>(223-cow milking unit plus 27 dry cows of large breed), Mississippi, 2007</v>
      </c>
      <c r="C159" s="25"/>
      <c r="D159" s="25"/>
      <c r="E159" s="25"/>
      <c r="F159" s="25"/>
      <c r="G159" s="25"/>
      <c r="H159" s="25"/>
      <c r="I159" s="25"/>
      <c r="J159" s="7"/>
    </row>
    <row r="160" spans="1:10" ht="15">
      <c r="A160" s="34"/>
      <c r="B160" s="3"/>
      <c r="C160" s="3"/>
      <c r="D160" s="3"/>
      <c r="E160" s="3"/>
      <c r="F160" s="3"/>
      <c r="G160" s="3"/>
      <c r="H160" s="3"/>
      <c r="I160" s="3"/>
      <c r="J160" s="4"/>
    </row>
    <row r="161" spans="1:10" ht="15.75" thickBot="1">
      <c r="A161" s="35"/>
      <c r="B161" s="6" t="s">
        <v>141</v>
      </c>
      <c r="C161" s="6"/>
      <c r="D161" s="25"/>
      <c r="E161" s="25"/>
      <c r="F161" s="25"/>
      <c r="G161" s="25"/>
      <c r="H161" s="25"/>
      <c r="I161" s="25"/>
      <c r="J161" s="7"/>
    </row>
    <row r="162" spans="1:10" ht="15.75" thickTop="1">
      <c r="A162" s="35"/>
      <c r="B162" s="26"/>
      <c r="C162" s="25"/>
      <c r="D162" s="25" t="s">
        <v>142</v>
      </c>
      <c r="E162" s="25"/>
      <c r="F162" s="25"/>
      <c r="G162" s="25"/>
      <c r="H162" s="25"/>
      <c r="I162" s="25"/>
      <c r="J162" s="7"/>
    </row>
    <row r="163" spans="1:10" ht="15">
      <c r="A163" s="35"/>
      <c r="B163" s="25"/>
      <c r="C163" s="25"/>
      <c r="D163" s="64">
        <f>B5-2000</f>
        <v>14000</v>
      </c>
      <c r="E163" s="64">
        <f>B5-1000</f>
        <v>15000</v>
      </c>
      <c r="F163" s="64">
        <f>B5</f>
        <v>16000</v>
      </c>
      <c r="G163" s="64">
        <f>B5+1000</f>
        <v>17000</v>
      </c>
      <c r="H163" s="64">
        <f>B5+2000</f>
        <v>18000</v>
      </c>
      <c r="I163" s="25"/>
      <c r="J163" s="7"/>
    </row>
    <row r="164" spans="1:10" ht="15">
      <c r="A164" s="35"/>
      <c r="B164" s="8" t="s">
        <v>143</v>
      </c>
      <c r="C164" s="8"/>
      <c r="D164" s="30"/>
      <c r="E164" s="30"/>
      <c r="F164" s="30"/>
      <c r="G164" s="30"/>
      <c r="H164" s="30"/>
      <c r="I164" s="25"/>
      <c r="J164" s="7"/>
    </row>
    <row r="165" spans="1:10" ht="15">
      <c r="A165" s="35"/>
      <c r="B165" s="28">
        <f>B6-1.5</f>
        <v>15.3</v>
      </c>
      <c r="C165" s="25"/>
      <c r="D165" s="67">
        <f aca="true" t="shared" si="6" ref="D165:H169">(((((D$163/100)*$G$1)*$B165)+SUM($I$18:$I$20))-(SUM($I$24:$I$33,$I$36:$I$40)+(($H$34+$H$35)*((D$163/100)*$G$1))+$I$57))/$G$1</f>
        <v>-503.6519897664101</v>
      </c>
      <c r="E165" s="67">
        <f t="shared" si="6"/>
        <v>-364.1519897664101</v>
      </c>
      <c r="F165" s="67">
        <f t="shared" si="6"/>
        <v>-224.65198976641008</v>
      </c>
      <c r="G165" s="67">
        <f t="shared" si="6"/>
        <v>-85.15198976641008</v>
      </c>
      <c r="H165" s="67">
        <f t="shared" si="6"/>
        <v>54.34801023358991</v>
      </c>
      <c r="I165" s="25"/>
      <c r="J165" s="7"/>
    </row>
    <row r="166" spans="1:10" ht="15.75" thickBot="1">
      <c r="A166" s="35"/>
      <c r="B166" s="28">
        <f>B6-0.5</f>
        <v>16.3</v>
      </c>
      <c r="C166" s="25"/>
      <c r="D166" s="67">
        <f t="shared" si="6"/>
        <v>-363.6519897664101</v>
      </c>
      <c r="E166" s="67">
        <f t="shared" si="6"/>
        <v>-214.15198976641008</v>
      </c>
      <c r="F166" s="67">
        <f t="shared" si="6"/>
        <v>-64.65198976641008</v>
      </c>
      <c r="G166" s="67">
        <f t="shared" si="6"/>
        <v>84.84801023358992</v>
      </c>
      <c r="H166" s="67">
        <f t="shared" si="6"/>
        <v>234.34801023358992</v>
      </c>
      <c r="I166" s="25"/>
      <c r="J166" s="7"/>
    </row>
    <row r="167" spans="1:10" ht="16.5" thickBot="1" thickTop="1">
      <c r="A167" s="35"/>
      <c r="B167" s="28">
        <f>B6</f>
        <v>16.8</v>
      </c>
      <c r="C167" s="25"/>
      <c r="D167" s="67">
        <f t="shared" si="6"/>
        <v>-293.6519897664101</v>
      </c>
      <c r="E167" s="67">
        <f t="shared" si="6"/>
        <v>-139.15198976641008</v>
      </c>
      <c r="F167" s="68">
        <f t="shared" si="6"/>
        <v>15.348010233589914</v>
      </c>
      <c r="G167" s="67">
        <f t="shared" si="6"/>
        <v>169.84801023358992</v>
      </c>
      <c r="H167" s="67">
        <f t="shared" si="6"/>
        <v>324.3480102335899</v>
      </c>
      <c r="I167" s="25"/>
      <c r="J167" s="7"/>
    </row>
    <row r="168" spans="1:10" ht="15.75" thickTop="1">
      <c r="A168" s="35"/>
      <c r="B168" s="28">
        <f>B6+0.5</f>
        <v>17.3</v>
      </c>
      <c r="C168" s="25"/>
      <c r="D168" s="67">
        <f t="shared" si="6"/>
        <v>-223.65198976641008</v>
      </c>
      <c r="E168" s="67">
        <f t="shared" si="6"/>
        <v>-64.15198976641008</v>
      </c>
      <c r="F168" s="67">
        <f t="shared" si="6"/>
        <v>95.34801023358992</v>
      </c>
      <c r="G168" s="67">
        <f t="shared" si="6"/>
        <v>254.84801023358992</v>
      </c>
      <c r="H168" s="67">
        <f t="shared" si="6"/>
        <v>414.3480102335899</v>
      </c>
      <c r="I168" s="25"/>
      <c r="J168" s="7"/>
    </row>
    <row r="169" spans="1:10" ht="15">
      <c r="A169" s="35"/>
      <c r="B169" s="28">
        <f>B6+1.5</f>
        <v>18.3</v>
      </c>
      <c r="C169" s="25"/>
      <c r="D169" s="67">
        <f t="shared" si="6"/>
        <v>-83.65198976641008</v>
      </c>
      <c r="E169" s="67">
        <f t="shared" si="6"/>
        <v>85.84801023358992</v>
      </c>
      <c r="F169" s="67">
        <f t="shared" si="6"/>
        <v>255.34801023358992</v>
      </c>
      <c r="G169" s="67">
        <f t="shared" si="6"/>
        <v>424.8480102335899</v>
      </c>
      <c r="H169" s="67">
        <f t="shared" si="6"/>
        <v>594.3480102335899</v>
      </c>
      <c r="I169" s="25"/>
      <c r="J169" s="7"/>
    </row>
    <row r="170" spans="1:10" ht="15">
      <c r="A170" s="35"/>
      <c r="B170" s="25"/>
      <c r="C170" s="25"/>
      <c r="D170" s="45"/>
      <c r="E170" s="45"/>
      <c r="F170" s="45"/>
      <c r="G170" s="45"/>
      <c r="H170" s="45"/>
      <c r="I170" s="25"/>
      <c r="J170" s="7"/>
    </row>
    <row r="171" spans="1:10" ht="15.75" thickBot="1">
      <c r="A171" s="35"/>
      <c r="B171" s="6" t="s">
        <v>153</v>
      </c>
      <c r="C171" s="6"/>
      <c r="D171" s="25"/>
      <c r="E171" s="25"/>
      <c r="F171" s="25"/>
      <c r="G171" s="25"/>
      <c r="H171" s="25"/>
      <c r="I171" s="25"/>
      <c r="J171" s="7"/>
    </row>
    <row r="172" spans="1:10" ht="15.75" thickTop="1">
      <c r="A172" s="35"/>
      <c r="B172" s="26"/>
      <c r="C172" s="25"/>
      <c r="D172" s="25" t="s">
        <v>142</v>
      </c>
      <c r="E172" s="25"/>
      <c r="F172" s="25"/>
      <c r="G172" s="25"/>
      <c r="H172" s="25"/>
      <c r="I172" s="25"/>
      <c r="J172" s="7"/>
    </row>
    <row r="173" spans="1:10" ht="15">
      <c r="A173" s="35"/>
      <c r="B173" s="25"/>
      <c r="C173" s="25"/>
      <c r="D173" s="26">
        <f>B5-2000</f>
        <v>14000</v>
      </c>
      <c r="E173" s="26">
        <f>B5-1000</f>
        <v>15000</v>
      </c>
      <c r="F173" s="26">
        <f>B5</f>
        <v>16000</v>
      </c>
      <c r="G173" s="26">
        <f>B5+1000</f>
        <v>17000</v>
      </c>
      <c r="H173" s="26">
        <f>B5+2000</f>
        <v>18000</v>
      </c>
      <c r="I173" s="25"/>
      <c r="J173" s="7"/>
    </row>
    <row r="174" spans="1:10" ht="15">
      <c r="A174" s="35"/>
      <c r="B174" s="8" t="s">
        <v>143</v>
      </c>
      <c r="C174" s="8"/>
      <c r="D174" s="25"/>
      <c r="E174" s="25"/>
      <c r="F174" s="25"/>
      <c r="G174" s="25"/>
      <c r="H174" s="25"/>
      <c r="I174" s="25"/>
      <c r="J174" s="7"/>
    </row>
    <row r="175" spans="1:10" ht="15">
      <c r="A175" s="35"/>
      <c r="B175" s="28">
        <f>B6-1.5</f>
        <v>15.3</v>
      </c>
      <c r="C175" s="25"/>
      <c r="D175" s="69">
        <f aca="true" t="shared" si="7" ref="D175:H179">((((((D$163/100)*$G$1)*$B175)+SUM($I$18:$I$20))-(SUM($I$24:$I$33,$I$36:$I$40)+(($H$34+$H$35)*((D$163/100)*$G$1))+$I$57))/$G$1)/(D$173/100)</f>
        <v>-3.5975142126172153</v>
      </c>
      <c r="E175" s="69">
        <f t="shared" si="7"/>
        <v>-2.4276799317760673</v>
      </c>
      <c r="F175" s="69">
        <f t="shared" si="7"/>
        <v>-1.404074936040063</v>
      </c>
      <c r="G175" s="69">
        <f t="shared" si="7"/>
        <v>-0.500894057449471</v>
      </c>
      <c r="H175" s="69">
        <f t="shared" si="7"/>
        <v>0.30193339018661064</v>
      </c>
      <c r="I175" s="25"/>
      <c r="J175" s="7"/>
    </row>
    <row r="176" spans="1:10" ht="15.75" thickBot="1">
      <c r="A176" s="35"/>
      <c r="B176" s="28">
        <f>B6-0.5</f>
        <v>16.3</v>
      </c>
      <c r="C176" s="25"/>
      <c r="D176" s="69">
        <f t="shared" si="7"/>
        <v>-2.5975142126172153</v>
      </c>
      <c r="E176" s="69">
        <f t="shared" si="7"/>
        <v>-1.4276799317760671</v>
      </c>
      <c r="F176" s="69">
        <f t="shared" si="7"/>
        <v>-0.404074936040063</v>
      </c>
      <c r="G176" s="69">
        <f t="shared" si="7"/>
        <v>0.4991059425505289</v>
      </c>
      <c r="H176" s="69">
        <f t="shared" si="7"/>
        <v>1.3019333901866106</v>
      </c>
      <c r="I176" s="25"/>
      <c r="J176" s="7"/>
    </row>
    <row r="177" spans="1:10" ht="16.5" thickBot="1" thickTop="1">
      <c r="A177" s="35"/>
      <c r="B177" s="28">
        <f>B6</f>
        <v>16.8</v>
      </c>
      <c r="C177" s="25"/>
      <c r="D177" s="69">
        <f t="shared" si="7"/>
        <v>-2.0975142126172153</v>
      </c>
      <c r="E177" s="69">
        <f t="shared" si="7"/>
        <v>-0.9276799317760672</v>
      </c>
      <c r="F177" s="70">
        <f t="shared" si="7"/>
        <v>0.09592506395993697</v>
      </c>
      <c r="G177" s="69">
        <f t="shared" si="7"/>
        <v>0.999105942550529</v>
      </c>
      <c r="H177" s="69">
        <f t="shared" si="7"/>
        <v>1.8019333901866106</v>
      </c>
      <c r="I177" s="25"/>
      <c r="J177" s="7"/>
    </row>
    <row r="178" spans="1:10" ht="15.75" thickTop="1">
      <c r="A178" s="35"/>
      <c r="B178" s="28">
        <f>B6+0.5</f>
        <v>17.3</v>
      </c>
      <c r="C178" s="25"/>
      <c r="D178" s="69">
        <f t="shared" si="7"/>
        <v>-1.5975142126172148</v>
      </c>
      <c r="E178" s="69">
        <f t="shared" si="7"/>
        <v>-0.4276799317760672</v>
      </c>
      <c r="F178" s="69">
        <f t="shared" si="7"/>
        <v>0.5959250639599369</v>
      </c>
      <c r="G178" s="69">
        <f t="shared" si="7"/>
        <v>1.4991059425505289</v>
      </c>
      <c r="H178" s="69">
        <f t="shared" si="7"/>
        <v>2.3019333901866106</v>
      </c>
      <c r="I178" s="25"/>
      <c r="J178" s="7"/>
    </row>
    <row r="179" spans="1:10" ht="15">
      <c r="A179" s="35"/>
      <c r="B179" s="28">
        <f>B6+1.5</f>
        <v>18.3</v>
      </c>
      <c r="C179" s="25"/>
      <c r="D179" s="69">
        <f t="shared" si="7"/>
        <v>-0.5975142126172148</v>
      </c>
      <c r="E179" s="69">
        <f t="shared" si="7"/>
        <v>0.5723200682239328</v>
      </c>
      <c r="F179" s="69">
        <f t="shared" si="7"/>
        <v>1.595925063959937</v>
      </c>
      <c r="G179" s="69">
        <f t="shared" si="7"/>
        <v>2.499105942550529</v>
      </c>
      <c r="H179" s="69">
        <f t="shared" si="7"/>
        <v>3.3019333901866106</v>
      </c>
      <c r="I179" s="25"/>
      <c r="J179" s="7"/>
    </row>
    <row r="180" spans="1:10" ht="15">
      <c r="A180" s="35"/>
      <c r="B180" s="25"/>
      <c r="C180" s="25"/>
      <c r="D180" s="25"/>
      <c r="E180" s="25"/>
      <c r="F180" s="25"/>
      <c r="G180" s="25"/>
      <c r="H180" s="25"/>
      <c r="I180" s="25"/>
      <c r="J180" s="7"/>
    </row>
    <row r="181" spans="1:10" ht="15">
      <c r="A181" s="36"/>
      <c r="B181" s="8"/>
      <c r="C181" s="8"/>
      <c r="D181" s="8"/>
      <c r="E181" s="8"/>
      <c r="F181" s="20" t="s">
        <v>150</v>
      </c>
      <c r="G181" s="8"/>
      <c r="H181" s="8"/>
      <c r="I181" s="8"/>
      <c r="J181" s="12"/>
    </row>
    <row r="183" spans="1:6" ht="15">
      <c r="A183" s="1"/>
      <c r="B183" s="1"/>
      <c r="C183" s="1"/>
      <c r="D183" s="1"/>
      <c r="E183" s="1"/>
      <c r="F183" s="14"/>
    </row>
    <row r="184" spans="1:9" ht="15.75" thickBot="1">
      <c r="A184" s="1"/>
      <c r="B184" s="6" t="s">
        <v>172</v>
      </c>
      <c r="C184" s="6"/>
      <c r="D184" s="25"/>
      <c r="E184" s="25"/>
      <c r="F184" s="25"/>
      <c r="G184" s="25"/>
      <c r="H184" s="25"/>
      <c r="I184" s="25"/>
    </row>
    <row r="185" spans="2:9" ht="15.75" thickTop="1">
      <c r="B185" s="26"/>
      <c r="C185" s="25"/>
      <c r="D185" s="25" t="s">
        <v>142</v>
      </c>
      <c r="E185" s="25"/>
      <c r="F185" s="25"/>
      <c r="G185" s="25"/>
      <c r="H185" s="25"/>
      <c r="I185" s="25"/>
    </row>
    <row r="186" spans="2:9" ht="15">
      <c r="B186" s="25"/>
      <c r="C186" s="25"/>
      <c r="D186" s="64">
        <f>B5-2000</f>
        <v>14000</v>
      </c>
      <c r="E186" s="64">
        <f>B5-1000</f>
        <v>15000</v>
      </c>
      <c r="F186" s="64">
        <f>B5</f>
        <v>16000</v>
      </c>
      <c r="G186" s="64">
        <f>B5+1000</f>
        <v>17000</v>
      </c>
      <c r="H186" s="64">
        <f>B5+2000</f>
        <v>18000</v>
      </c>
      <c r="I186" s="25"/>
    </row>
    <row r="187" spans="2:9" ht="15">
      <c r="B187" s="8" t="s">
        <v>143</v>
      </c>
      <c r="C187" s="8"/>
      <c r="D187" s="30"/>
      <c r="E187" s="30"/>
      <c r="F187" s="30"/>
      <c r="G187" s="30"/>
      <c r="H187" s="30"/>
      <c r="I187" s="25"/>
    </row>
    <row r="188" spans="2:9" ht="15">
      <c r="B188" s="28">
        <f>B6-1.5</f>
        <v>15.3</v>
      </c>
      <c r="C188" s="25"/>
      <c r="D188" s="67">
        <f aca="true" t="shared" si="8" ref="D188:H190">D165*$G$1</f>
        <v>-125912.99744160252</v>
      </c>
      <c r="E188" s="67">
        <f t="shared" si="8"/>
        <v>-91037.99744160252</v>
      </c>
      <c r="F188" s="67">
        <f t="shared" si="8"/>
        <v>-56162.99744160252</v>
      </c>
      <c r="G188" s="67">
        <f t="shared" si="8"/>
        <v>-21287.99744160252</v>
      </c>
      <c r="H188" s="67">
        <f t="shared" si="8"/>
        <v>13587.002558397478</v>
      </c>
      <c r="I188" s="25"/>
    </row>
    <row r="189" spans="2:9" ht="15">
      <c r="B189" s="28">
        <f>B6-0.5</f>
        <v>16.3</v>
      </c>
      <c r="C189" s="25"/>
      <c r="D189" s="67">
        <f t="shared" si="8"/>
        <v>-90912.99744160252</v>
      </c>
      <c r="E189" s="67">
        <f t="shared" si="8"/>
        <v>-53537.99744160252</v>
      </c>
      <c r="F189" s="67">
        <f t="shared" si="8"/>
        <v>-16162.99744160252</v>
      </c>
      <c r="G189" s="67">
        <f t="shared" si="8"/>
        <v>21212.00255839748</v>
      </c>
      <c r="H189" s="67">
        <f t="shared" si="8"/>
        <v>58587.00255839748</v>
      </c>
      <c r="I189" s="25"/>
    </row>
    <row r="190" spans="2:9" ht="15">
      <c r="B190" s="28">
        <f>B6</f>
        <v>16.8</v>
      </c>
      <c r="C190" s="25"/>
      <c r="D190" s="67">
        <f t="shared" si="8"/>
        <v>-73412.99744160252</v>
      </c>
      <c r="E190" s="67">
        <f t="shared" si="8"/>
        <v>-34787.99744160252</v>
      </c>
      <c r="F190" s="67">
        <f t="shared" si="8"/>
        <v>3837.0025583974784</v>
      </c>
      <c r="G190" s="67">
        <f t="shared" si="8"/>
        <v>42462.00255839748</v>
      </c>
      <c r="H190" s="67">
        <f t="shared" si="8"/>
        <v>81087.00255839748</v>
      </c>
      <c r="I190" s="25"/>
    </row>
    <row r="191" spans="2:9" ht="15">
      <c r="B191" s="28">
        <f>B6+0.5</f>
        <v>17.3</v>
      </c>
      <c r="C191" s="25"/>
      <c r="D191" s="67">
        <f aca="true" t="shared" si="9" ref="D191:H192">D168*$G$1</f>
        <v>-55912.99744160252</v>
      </c>
      <c r="E191" s="67">
        <f t="shared" si="9"/>
        <v>-16037.99744160252</v>
      </c>
      <c r="F191" s="67">
        <f t="shared" si="9"/>
        <v>23837.00255839748</v>
      </c>
      <c r="G191" s="67">
        <f t="shared" si="9"/>
        <v>63712.00255839748</v>
      </c>
      <c r="H191" s="67">
        <f t="shared" si="9"/>
        <v>103587.00255839748</v>
      </c>
      <c r="I191" s="25"/>
    </row>
    <row r="192" spans="2:9" ht="15">
      <c r="B192" s="28">
        <f>B6+1.5</f>
        <v>18.3</v>
      </c>
      <c r="C192" s="25"/>
      <c r="D192" s="67">
        <f t="shared" si="9"/>
        <v>-20912.99744160252</v>
      </c>
      <c r="E192" s="67">
        <f t="shared" si="9"/>
        <v>21462.00255839748</v>
      </c>
      <c r="F192" s="67">
        <f t="shared" si="9"/>
        <v>63837.00255839748</v>
      </c>
      <c r="G192" s="67">
        <f t="shared" si="9"/>
        <v>106212.00255839748</v>
      </c>
      <c r="H192" s="67">
        <f t="shared" si="9"/>
        <v>148587.00255839748</v>
      </c>
      <c r="I192" s="25"/>
    </row>
    <row r="193" spans="2:9" ht="15">
      <c r="B193" s="25"/>
      <c r="C193" s="25"/>
      <c r="D193" s="45"/>
      <c r="E193" s="45"/>
      <c r="F193" s="45"/>
      <c r="G193" s="45"/>
      <c r="H193" s="45"/>
      <c r="I193" s="25"/>
    </row>
  </sheetData>
  <printOptions/>
  <pageMargins left="0.5" right="0.5" top="0.5" bottom="0.55" header="0.5" footer="0.5"/>
  <pageSetup fitToHeight="1" fitToWidth="1" horizontalDpi="600" verticalDpi="600" orientation="portrait" scale="65" r:id="rId1"/>
  <rowBreaks count="2" manualBreakCount="2">
    <brk id="62" max="11" man="1"/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MSU, Ag. Economics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 W. "Bill" Herndon</dc:creator>
  <cp:keywords/>
  <dc:description/>
  <cp:lastModifiedBy>none</cp:lastModifiedBy>
  <cp:lastPrinted>2007-06-21T20:05:06Z</cp:lastPrinted>
  <dcterms:created xsi:type="dcterms:W3CDTF">2001-05-19T17:55:07Z</dcterms:created>
  <dcterms:modified xsi:type="dcterms:W3CDTF">2007-06-22T16:14:18Z</dcterms:modified>
  <cp:category/>
  <cp:version/>
  <cp:contentType/>
  <cp:contentStatus/>
</cp:coreProperties>
</file>