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effrey Johnson\Documents\PROJECTS\SRMEC Project 2020\Machinery Cost Calculator\"/>
    </mc:Choice>
  </mc:AlternateContent>
  <xr:revisionPtr revIDLastSave="0" documentId="13_ncr:1_{6CD54053-9DAB-4E7D-B154-C75A3867EC4B}" xr6:coauthVersionLast="45" xr6:coauthVersionMax="45" xr10:uidLastSave="{00000000-0000-0000-0000-000000000000}"/>
  <workbookProtection workbookAlgorithmName="SHA-512" workbookHashValue="/lsV+IuTATblK93F7XVy/Hpm8a8pYwLQxMvvhIvOsLAeCgdfnIdO/ADD7Oy27oKgRh2qiQjgrHxzCe4k/t3Big==" workbookSaltValue="09wV6+y5v5l/GHvCPmdSfw==" workbookSpinCount="100000" lockStructure="1"/>
  <bookViews>
    <workbookView xWindow="1440" yWindow="255" windowWidth="24645" windowHeight="19620" xr2:uid="{FB0A1A22-36D8-4D31-A4CC-24FB9756AC35}"/>
  </bookViews>
  <sheets>
    <sheet name="Intro" sheetId="9" r:id="rId1"/>
    <sheet name="Tractor + Implement" sheetId="2" r:id="rId2"/>
    <sheet name="Self-Propelled" sheetId="7" r:id="rId3"/>
    <sheet name="Implements" sheetId="10" r:id="rId4"/>
    <sheet name="Factors" sheetId="3" r:id="rId5"/>
    <sheet name="Definitions" sheetId="8" r:id="rId6"/>
  </sheets>
  <definedNames>
    <definedName name="_Hlk43478301" localSheetId="5">Definitions!$B$9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0" l="1"/>
  <c r="I14" i="7"/>
  <c r="J14" i="2"/>
  <c r="I14" i="2"/>
  <c r="C24" i="10" l="1"/>
  <c r="C27" i="7"/>
  <c r="D27" i="2"/>
  <c r="C27" i="2"/>
  <c r="C25" i="10"/>
  <c r="C23" i="10"/>
  <c r="C22" i="10"/>
  <c r="I13" i="10"/>
  <c r="I11" i="10"/>
  <c r="I10" i="10"/>
  <c r="I12" i="10" s="1"/>
  <c r="I8" i="10"/>
  <c r="C26" i="10" l="1"/>
  <c r="I18" i="10"/>
  <c r="I13" i="7"/>
  <c r="I11" i="7"/>
  <c r="I10" i="7"/>
  <c r="I12" i="7" s="1"/>
  <c r="I8" i="7"/>
  <c r="C28" i="7"/>
  <c r="C26" i="7"/>
  <c r="C25" i="7"/>
  <c r="D28" i="2"/>
  <c r="C28" i="2"/>
  <c r="D26" i="2"/>
  <c r="D25" i="2"/>
  <c r="I13" i="2"/>
  <c r="J13" i="2"/>
  <c r="J11" i="2"/>
  <c r="I11" i="2"/>
  <c r="J10" i="2"/>
  <c r="J12" i="2" s="1"/>
  <c r="I10" i="2"/>
  <c r="I12" i="2" s="1"/>
  <c r="J8" i="2"/>
  <c r="I8" i="2"/>
  <c r="I23" i="10" l="1"/>
  <c r="I24" i="10" s="1"/>
  <c r="I29" i="10" s="1"/>
  <c r="I17" i="10"/>
  <c r="I19" i="10"/>
  <c r="J17" i="2"/>
  <c r="I19" i="2"/>
  <c r="C29" i="7"/>
  <c r="I19" i="7"/>
  <c r="D29" i="2"/>
  <c r="J23" i="2"/>
  <c r="J27" i="2" s="1"/>
  <c r="J32" i="2" s="1"/>
  <c r="I23" i="2"/>
  <c r="I20" i="10" l="1"/>
  <c r="I17" i="7"/>
  <c r="I18" i="7"/>
  <c r="I24" i="2"/>
  <c r="I25" i="2" s="1"/>
  <c r="I26" i="2"/>
  <c r="I26" i="7"/>
  <c r="I24" i="7"/>
  <c r="I25" i="7" s="1"/>
  <c r="I23" i="7"/>
  <c r="J18" i="2"/>
  <c r="I18" i="2"/>
  <c r="J19" i="2"/>
  <c r="I17" i="2"/>
  <c r="I20" i="7" l="1"/>
  <c r="I31" i="7" s="1"/>
  <c r="I28" i="10"/>
  <c r="I30" i="10" s="1"/>
  <c r="I31" i="10" s="1"/>
  <c r="I25" i="10"/>
  <c r="I27" i="7"/>
  <c r="I32" i="7" s="1"/>
  <c r="J20" i="2"/>
  <c r="J28" i="2" s="1"/>
  <c r="I20" i="2"/>
  <c r="I31" i="2" s="1"/>
  <c r="I27" i="2"/>
  <c r="I32" i="2" s="1"/>
  <c r="I33" i="7" l="1"/>
  <c r="I34" i="7" s="1"/>
  <c r="I28" i="7"/>
  <c r="J31" i="2"/>
  <c r="J33" i="2" s="1"/>
  <c r="I33" i="2"/>
  <c r="I28" i="2"/>
  <c r="J34" i="2" l="1"/>
  <c r="J35" i="2" s="1"/>
</calcChain>
</file>

<file path=xl/sharedStrings.xml><?xml version="1.0" encoding="utf-8"?>
<sst xmlns="http://schemas.openxmlformats.org/spreadsheetml/2006/main" count="529" uniqueCount="229">
  <si>
    <t>Depreciation</t>
  </si>
  <si>
    <t>Interest</t>
  </si>
  <si>
    <t xml:space="preserve">     Total annual ownership costs</t>
  </si>
  <si>
    <t xml:space="preserve">Ownership costs per hour </t>
  </si>
  <si>
    <t xml:space="preserve">     Total annual operating costs</t>
  </si>
  <si>
    <t xml:space="preserve">Operating cost per hour </t>
  </si>
  <si>
    <t>Initial information</t>
  </si>
  <si>
    <t>Description of equipment</t>
  </si>
  <si>
    <t>List price</t>
  </si>
  <si>
    <t>Purchase cost</t>
  </si>
  <si>
    <t>Ownership life in years</t>
  </si>
  <si>
    <t>Factors used for calculations</t>
  </si>
  <si>
    <t>Lubrication and filters</t>
  </si>
  <si>
    <t>Labor hours</t>
  </si>
  <si>
    <t xml:space="preserve">COMBINED COST PER HOUR </t>
  </si>
  <si>
    <t>COMBINED COST PER ACRE</t>
  </si>
  <si>
    <t>Taxes, insurance and housing</t>
  </si>
  <si>
    <t>of average value</t>
  </si>
  <si>
    <t>times machinery hours</t>
  </si>
  <si>
    <t>of fuel cost</t>
  </si>
  <si>
    <t>Horsepower rating</t>
  </si>
  <si>
    <t>Fuel use (diesel)</t>
  </si>
  <si>
    <t>per gallon</t>
  </si>
  <si>
    <t>per hour</t>
  </si>
  <si>
    <t>Est. Life</t>
  </si>
  <si>
    <t>Tot. Life</t>
  </si>
  <si>
    <t>Moldboard plow</t>
  </si>
  <si>
    <t>70-90</t>
  </si>
  <si>
    <t>3.0-6.0</t>
  </si>
  <si>
    <t>Heavy-duty disk</t>
  </si>
  <si>
    <t>Tandem disk harrow</t>
  </si>
  <si>
    <t>4.0-7.0</t>
  </si>
  <si>
    <t>(Coulter) chisel plow</t>
  </si>
  <si>
    <t>4.0-6.5</t>
  </si>
  <si>
    <t>Field Cultivator</t>
  </si>
  <si>
    <t>5.0-8.0</t>
  </si>
  <si>
    <t>Spring tooth harrow</t>
  </si>
  <si>
    <t>Roller-packer</t>
  </si>
  <si>
    <t>4.5-7.5</t>
  </si>
  <si>
    <t>Mulcher-packer</t>
  </si>
  <si>
    <t>Rotary hoe</t>
  </si>
  <si>
    <t>70-85</t>
  </si>
  <si>
    <t>8.0-14.0</t>
  </si>
  <si>
    <t>Row crop cultivator</t>
  </si>
  <si>
    <t>3.0-7.0</t>
  </si>
  <si>
    <t>Rotary tiller</t>
  </si>
  <si>
    <t>1.0-4.5</t>
  </si>
  <si>
    <t>Row crop planter</t>
  </si>
  <si>
    <t>50-75</t>
  </si>
  <si>
    <t>Grain drill</t>
  </si>
  <si>
    <t>55-80</t>
  </si>
  <si>
    <t>Corn picker sheller</t>
  </si>
  <si>
    <t>60-75</t>
  </si>
  <si>
    <t>2.0-4.0</t>
  </si>
  <si>
    <t>PT Combine</t>
  </si>
  <si>
    <t>2.0-5.0</t>
  </si>
  <si>
    <t>SP Combine</t>
  </si>
  <si>
    <t>65-80</t>
  </si>
  <si>
    <t>Mower</t>
  </si>
  <si>
    <t>75-85</t>
  </si>
  <si>
    <t>Mower (rotary)</t>
  </si>
  <si>
    <t>75-90</t>
  </si>
  <si>
    <t>5.0-12.0</t>
  </si>
  <si>
    <t>Mower-conditioner</t>
  </si>
  <si>
    <t>SP Windrower</t>
  </si>
  <si>
    <t>3.0-8.0</t>
  </si>
  <si>
    <t>Side delivery rake</t>
  </si>
  <si>
    <t>4.0-8.0</t>
  </si>
  <si>
    <t>60-85</t>
  </si>
  <si>
    <t>2.5-6.0</t>
  </si>
  <si>
    <t>Large round baler</t>
  </si>
  <si>
    <t>55-75</t>
  </si>
  <si>
    <t>Forage harvester</t>
  </si>
  <si>
    <t>1.5-5.0</t>
  </si>
  <si>
    <t>SP Forage harvester</t>
  </si>
  <si>
    <t>1.5-6.0</t>
  </si>
  <si>
    <t>Sugar beet harvester</t>
  </si>
  <si>
    <t>50-70</t>
  </si>
  <si>
    <t>4.0-6.0</t>
  </si>
  <si>
    <t>Potato harvester</t>
  </si>
  <si>
    <t>55-70</t>
  </si>
  <si>
    <t>1.5-4.0</t>
  </si>
  <si>
    <t>SP Cotton picker</t>
  </si>
  <si>
    <t>MISCELLANEOUS</t>
  </si>
  <si>
    <t>Fertilizer spreader</t>
  </si>
  <si>
    <t>60-80</t>
  </si>
  <si>
    <t>5.0-10.0</t>
  </si>
  <si>
    <t>Boom-type sprayer</t>
  </si>
  <si>
    <t>50-80</t>
  </si>
  <si>
    <t>Bean puller/windrower</t>
  </si>
  <si>
    <t>Beet topper/chopper</t>
  </si>
  <si>
    <t>RF1</t>
  </si>
  <si>
    <t>RF2</t>
  </si>
  <si>
    <t>Equipment type</t>
  </si>
  <si>
    <t>HARVESTING, CROP</t>
  </si>
  <si>
    <t>HARVESTING, FORAGE</t>
  </si>
  <si>
    <t>Equipment category</t>
  </si>
  <si>
    <t>Equipment Category</t>
  </si>
  <si>
    <t>FE Range</t>
  </si>
  <si>
    <t>FE Typical</t>
  </si>
  <si>
    <t>FS Range</t>
  </si>
  <si>
    <t>FS Typical</t>
  </si>
  <si>
    <t>Field Efficiency (typical) (%)</t>
  </si>
  <si>
    <t>Field Speed (typical) (mph)</t>
  </si>
  <si>
    <t>Field capacity (acres per hour)</t>
  </si>
  <si>
    <t>Estimated useful life (hours)</t>
  </si>
  <si>
    <t>Calculated annual use (hours)</t>
  </si>
  <si>
    <t>Kay, Edwards, Duffy. Farm Management. McGraw-Hill Education.  New York, NY. 2020.</t>
  </si>
  <si>
    <t>Combine</t>
  </si>
  <si>
    <t>Age of Machine in years</t>
  </si>
  <si>
    <t>Estimated Salvage Value as a Percentage of New List Price for a Similar Machine</t>
  </si>
  <si>
    <t>Salvage Value factor</t>
  </si>
  <si>
    <t>TRACTORS 150+ hp</t>
  </si>
  <si>
    <t>TRACTORS 80-149 hp</t>
  </si>
  <si>
    <t>PLANTERS</t>
  </si>
  <si>
    <t>TILLAGE</t>
  </si>
  <si>
    <t>Column1</t>
  </si>
  <si>
    <t>Fuel price</t>
  </si>
  <si>
    <t>Labor wage rate</t>
  </si>
  <si>
    <t>Interest rate (%)</t>
  </si>
  <si>
    <t xml:space="preserve">Fuel </t>
  </si>
  <si>
    <t xml:space="preserve">Repairs </t>
  </si>
  <si>
    <t xml:space="preserve">Taxes, insurance and housing </t>
  </si>
  <si>
    <t xml:space="preserve">Labor </t>
  </si>
  <si>
    <t>Basic data</t>
  </si>
  <si>
    <t>Ownership costs</t>
  </si>
  <si>
    <t>Operating costs</t>
  </si>
  <si>
    <t xml:space="preserve"> Total cost per hour</t>
  </si>
  <si>
    <t>Expected useful life (years)</t>
  </si>
  <si>
    <t>est</t>
  </si>
  <si>
    <t>Repair average factor</t>
  </si>
  <si>
    <t>ARF</t>
  </si>
  <si>
    <t>2WD 150+ hp</t>
  </si>
  <si>
    <t>2WD &lt;150hp</t>
  </si>
  <si>
    <t>4WD &amp; crawler 150+ hp</t>
  </si>
  <si>
    <t>4WD &amp; crawler &lt;150 hp</t>
  </si>
  <si>
    <t>Width (feet) (implement only)</t>
  </si>
  <si>
    <t xml:space="preserve">Salvage value </t>
  </si>
  <si>
    <t>Estimated annual use in hours</t>
  </si>
  <si>
    <t>Total annual costs</t>
  </si>
  <si>
    <t>Costs per hour and per acre</t>
  </si>
  <si>
    <t xml:space="preserve">TRACTOR </t>
  </si>
  <si>
    <t>IMPLEMENTS</t>
  </si>
  <si>
    <t>SELF PROPELLED</t>
  </si>
  <si>
    <t>HARVESTING, CROP SP</t>
  </si>
  <si>
    <t>HARVESTING, FORAGE SP</t>
  </si>
  <si>
    <t xml:space="preserve"> Total cost per acre</t>
  </si>
  <si>
    <t>Labor wage rate ($/hour)</t>
  </si>
  <si>
    <t>Fuel price ($/gallon)</t>
  </si>
  <si>
    <t xml:space="preserve">Width (feet) </t>
  </si>
  <si>
    <t>Cost Calculations</t>
  </si>
  <si>
    <t>ALL CATEGORIES</t>
  </si>
  <si>
    <t>EQUIPMENT TYPES</t>
  </si>
  <si>
    <t>DEFINITIONS</t>
  </si>
  <si>
    <t>FACTOR</t>
  </si>
  <si>
    <t>DEFINITION</t>
  </si>
  <si>
    <t>Field Efficiency (%)</t>
  </si>
  <si>
    <t xml:space="preserve">ASAE Standards 1993 provides an estimated useful life (EUL)  for field equipment and tractors in total hours.  </t>
  </si>
  <si>
    <t>Annual use in hours is calculated by dividing the estimated useful life (EUL) in hours by the expected useful life in years provided by the user.</t>
  </si>
  <si>
    <t xml:space="preserve">ASABE Standards 2013 provides an estimated salvage value as a percentage of new list price for a similar machine.  </t>
  </si>
  <si>
    <t xml:space="preserve">ASABE Standards 2013 provides an average repair costs per 100 hours of use as a percent of new list price.  </t>
  </si>
  <si>
    <t>Fuel use</t>
  </si>
  <si>
    <t>REFERENCES</t>
  </si>
  <si>
    <t>ASABE Standards. 2013. American Society of Agricultural Engineers.  St. Joseph, Michigan.</t>
  </si>
  <si>
    <t>Kay, R.D., W.M. Edwards, and P.A. Duffy.  2020.  Farm Management.  McGraw Hill.  New York, NY.</t>
  </si>
  <si>
    <t xml:space="preserve">Kastens, T.  1997.  Farm Machinery Operation Cost Calculations.  Kansas State University </t>
  </si>
  <si>
    <t xml:space="preserve">Experiment Station and Cooperative Extension Service.  MF-2244.  </t>
  </si>
  <si>
    <t>Tractor,190 hp, 4-wheel drive</t>
  </si>
  <si>
    <t>Horsepower rating (tractor only)</t>
  </si>
  <si>
    <t>Large rectangular baler</t>
  </si>
  <si>
    <t>Rectangular baler</t>
  </si>
  <si>
    <t>Mower-conditioner (rotary)</t>
  </si>
  <si>
    <t>Source: ASABE Standards 2011, Agricultural Machinery Management Data, ASAE D497.7.  American Society of Agricultural and Biological Engineers, St. Joseph, Michigan (Reaffirmed 2015).</t>
  </si>
  <si>
    <t>Table of Contents</t>
  </si>
  <si>
    <t xml:space="preserve">Mississippi State Extension Service </t>
  </si>
  <si>
    <t>Department of Agricultural Economics</t>
  </si>
  <si>
    <t>Machinery Cost Calculator</t>
  </si>
  <si>
    <t>Tractor + Implement</t>
  </si>
  <si>
    <t>Self-propelled equipment</t>
  </si>
  <si>
    <t>Factors</t>
  </si>
  <si>
    <t>Definitions</t>
  </si>
  <si>
    <t>Agricultural and Biological Engineers, St. Joseph, Michigan (Reaffirmed 2015).</t>
  </si>
  <si>
    <t xml:space="preserve">ASABE Standards 2011. Agricultural Machinery Management Data, ASAE D497.7.  American Society of </t>
  </si>
  <si>
    <t>Jeff Johnson</t>
  </si>
  <si>
    <t>Email:   jeff.johnson@msstate.edu</t>
  </si>
  <si>
    <t>Phone: (662)325-2750</t>
  </si>
  <si>
    <t>Contact</t>
  </si>
  <si>
    <t>Protection password</t>
  </si>
  <si>
    <t>unprotect</t>
  </si>
  <si>
    <t xml:space="preserve">TRACTOR + IMPLEMENT COST CALCULATONS </t>
  </si>
  <si>
    <t xml:space="preserve">SELF-PROPELLED MACHINERY COST CALCULATONS </t>
  </si>
  <si>
    <t>Field Efficiency - Range</t>
  </si>
  <si>
    <t>Field Efficiency - Typical</t>
  </si>
  <si>
    <t>Field Speed - Range</t>
  </si>
  <si>
    <t>Field Speed - Typical</t>
  </si>
  <si>
    <t>Estimated Life (hours)</t>
  </si>
  <si>
    <t>Repair Factor 1</t>
  </si>
  <si>
    <t>Repair Factor 2</t>
  </si>
  <si>
    <t>Average Repair Factor</t>
  </si>
  <si>
    <t>ARF Comment</t>
  </si>
  <si>
    <t>Total life R&amp;M cost % of list price</t>
  </si>
  <si>
    <t xml:space="preserve">IMPLEMENT COST CALCULATONS </t>
  </si>
  <si>
    <t>12 row Folding Planter</t>
  </si>
  <si>
    <t>2.  Use the dropdown menus for equipment category and equipment type.</t>
  </si>
  <si>
    <t>1.  Fill in all the blue shaded boxes in "Initial Information."</t>
  </si>
  <si>
    <t>3.  "Factors used for calculations" listed below the "Intial information" are for information only.</t>
  </si>
  <si>
    <t>4.  Cost calculations are in the bordered box.</t>
  </si>
  <si>
    <t xml:space="preserve">4.  Cost calculations are in the bordered box. </t>
  </si>
  <si>
    <t>Implements</t>
  </si>
  <si>
    <t>To calculate cost of a field operation such as planting or field cultivating</t>
  </si>
  <si>
    <t>To calculate cost of self-propelled equipment such as combines or pickers</t>
  </si>
  <si>
    <t xml:space="preserve">To calculate cost of implements only </t>
  </si>
  <si>
    <t>Definitions of terms used in calculations</t>
  </si>
  <si>
    <t>ASABE factors used in calculations</t>
  </si>
  <si>
    <t xml:space="preserve">Source: Based on ASABE Standards 2013. American Society of Agricultural and Biological Engineers. St. Joseph, MI. 2017. and </t>
  </si>
  <si>
    <t>Machine Performance Factors</t>
  </si>
  <si>
    <t>Annual use (hours)</t>
  </si>
  <si>
    <t>gallons / hp hour</t>
  </si>
  <si>
    <t>Tractor</t>
  </si>
  <si>
    <t>Implement</t>
  </si>
  <si>
    <t>NOTE:  For cost calculations for only a tractor without implement,</t>
  </si>
  <si>
    <t>delete the initial information for the implement.</t>
  </si>
  <si>
    <t>Field capacity is measured in acres per hour and is calculated as [speed (mph) x width (feet) x field efficiency (%) x 5280 feet/mile] / (43560 sq feet / acre)].</t>
  </si>
  <si>
    <t>Field efficiency is calculated as the actual rate of accomplishing a field task as a percent of the theoretical rate of accomplishment if no time was lost due to overlapping, turning, and adjusting.  ASAE Standards 1993 provides a range of field efficiency and a typical field efficiency for field operations.  This cost calculator uses the typical field efficiency for a operation.</t>
  </si>
  <si>
    <t>Field speed is the speed of the tractor or self-propelled equipment during the field operation.  ASAE Standards 1993 provides a range of field speeds in miles per hour and a typical field speed in miles per hour for field operations.  This cost calculator uses the typical speed for a particular operation.</t>
  </si>
  <si>
    <t>Labor hours are calculated as 1.2 times machine hours.  The factor of 1.2 is an estimate of the time spent by workers in pre- and post- operations such as fueling, conducting preventive maintenance, and cleaning.</t>
  </si>
  <si>
    <t>Lubrication and filter costs are calculated as 15% of fuel cost.</t>
  </si>
  <si>
    <t>Taxes, insurance, and housing (TIH) costs are calculated as 1.5%   of average value.</t>
  </si>
  <si>
    <t>Fuel use is calculated by multiplying the annual hours of operation x horsepower rating x average fuel consumption per PTO horsepower.  The average fuel consumption is measured in gallons per hour per max PTO horsepower with factors of 0.068 for gasoline, 0.044 for diesel, and 0.08 for LP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</si>
</sst>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0.0"/>
    <numFmt numFmtId="168"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5.5"/>
      <color theme="1"/>
      <name val="Calibri"/>
      <family val="2"/>
      <scheme val="minor"/>
    </font>
    <font>
      <sz val="8"/>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sz val="11"/>
      <color rgb="FF000000"/>
      <name val="Calibri"/>
      <family val="2"/>
      <scheme val="minor"/>
    </font>
    <font>
      <b/>
      <sz val="14"/>
      <color rgb="FF000000"/>
      <name val="Calibri"/>
      <family val="2"/>
      <scheme val="minor"/>
    </font>
    <font>
      <b/>
      <sz val="12"/>
      <color theme="1"/>
      <name val="Calibri"/>
      <family val="2"/>
      <scheme val="minor"/>
    </font>
    <font>
      <b/>
      <sz val="10"/>
      <color theme="0"/>
      <name val="Calibri"/>
      <family val="2"/>
      <scheme val="minor"/>
    </font>
    <font>
      <u/>
      <sz val="11"/>
      <color theme="10"/>
      <name val="Calibri"/>
      <family val="2"/>
      <scheme val="minor"/>
    </font>
    <font>
      <b/>
      <sz val="20"/>
      <color theme="1"/>
      <name val="Calibri"/>
      <family val="2"/>
      <scheme val="minor"/>
    </font>
    <font>
      <sz val="12"/>
      <color theme="1"/>
      <name val="Calibri"/>
      <family val="2"/>
      <scheme val="minor"/>
    </font>
    <font>
      <sz val="11"/>
      <color theme="1"/>
      <name val="Calibri"/>
      <family val="2"/>
    </font>
    <font>
      <b/>
      <sz val="14"/>
      <color theme="1"/>
      <name val="Calibri"/>
      <family val="2"/>
      <scheme val="minor"/>
    </font>
    <font>
      <u/>
      <sz val="14"/>
      <color theme="10"/>
      <name val="Calibri"/>
      <family val="2"/>
      <scheme val="minor"/>
    </font>
    <font>
      <sz val="14"/>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0070C0"/>
        <bgColor theme="4" tint="0.79995117038483843"/>
      </patternFill>
    </fill>
    <fill>
      <patternFill patternType="solid">
        <fgColor theme="4" tint="0.79998168889431442"/>
        <bgColor indexed="64"/>
      </patternFill>
    </fill>
    <fill>
      <patternFill patternType="solid">
        <fgColor rgb="FFC0C0C0"/>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9" tint="0.79998168889431442"/>
        <bgColor indexed="64"/>
      </patternFill>
    </fill>
  </fills>
  <borders count="29">
    <border>
      <left/>
      <right/>
      <top/>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2">
    <xf numFmtId="0" fontId="0" fillId="0" borderId="0" xfId="0"/>
    <xf numFmtId="0" fontId="2" fillId="0" borderId="0" xfId="0" applyFont="1"/>
    <xf numFmtId="9" fontId="0" fillId="0" borderId="0" xfId="3" applyFont="1"/>
    <xf numFmtId="165" fontId="0" fillId="0" borderId="0" xfId="3" applyNumberFormat="1" applyFont="1"/>
    <xf numFmtId="0" fontId="0" fillId="0" borderId="0" xfId="0" applyAlignment="1">
      <alignment vertical="top" wrapText="1"/>
    </xf>
    <xf numFmtId="0" fontId="4" fillId="0" borderId="0" xfId="0" applyFont="1" applyAlignment="1">
      <alignment horizontal="left" vertical="center" indent="1"/>
    </xf>
    <xf numFmtId="0" fontId="0" fillId="0" borderId="2" xfId="0" applyFont="1" applyFill="1" applyBorder="1"/>
    <xf numFmtId="0" fontId="0" fillId="0" borderId="4" xfId="0" applyFont="1" applyBorder="1"/>
    <xf numFmtId="0" fontId="0" fillId="3" borderId="4" xfId="0" applyFont="1" applyFill="1" applyBorder="1"/>
    <xf numFmtId="0" fontId="6" fillId="2" borderId="5" xfId="0" applyFont="1" applyFill="1" applyBorder="1" applyAlignment="1">
      <alignment horizontal="left" vertical="center"/>
    </xf>
    <xf numFmtId="0" fontId="8" fillId="0" borderId="0" xfId="0" applyFont="1"/>
    <xf numFmtId="0" fontId="0" fillId="3" borderId="3" xfId="0" applyFont="1" applyFill="1" applyBorder="1"/>
    <xf numFmtId="0" fontId="0" fillId="0" borderId="3" xfId="0" applyFont="1" applyBorder="1"/>
    <xf numFmtId="0" fontId="0" fillId="3" borderId="7" xfId="0" applyFont="1" applyFill="1" applyBorder="1"/>
    <xf numFmtId="0" fontId="0" fillId="0" borderId="7" xfId="0" applyFont="1" applyBorder="1"/>
    <xf numFmtId="0" fontId="0" fillId="0" borderId="8" xfId="0" applyFont="1" applyBorder="1"/>
    <xf numFmtId="0" fontId="0" fillId="3" borderId="8" xfId="0" applyFont="1" applyFill="1" applyBorder="1"/>
    <xf numFmtId="0" fontId="0" fillId="0" borderId="6" xfId="0" applyFont="1" applyFill="1" applyBorder="1"/>
    <xf numFmtId="0" fontId="7" fillId="4" borderId="0" xfId="0" applyFont="1" applyFill="1" applyBorder="1" applyAlignment="1">
      <alignment wrapText="1"/>
    </xf>
    <xf numFmtId="0" fontId="6" fillId="2" borderId="9" xfId="0" applyFont="1" applyFill="1" applyBorder="1" applyAlignment="1">
      <alignment wrapText="1"/>
    </xf>
    <xf numFmtId="0" fontId="7" fillId="4" borderId="8" xfId="0" applyFont="1" applyFill="1" applyBorder="1" applyAlignment="1">
      <alignment wrapText="1"/>
    </xf>
    <xf numFmtId="0" fontId="7" fillId="4" borderId="10" xfId="0" applyFont="1" applyFill="1" applyBorder="1" applyAlignment="1">
      <alignment wrapText="1"/>
    </xf>
    <xf numFmtId="0" fontId="7" fillId="4" borderId="9" xfId="0" applyFont="1" applyFill="1" applyBorder="1" applyAlignment="1">
      <alignment wrapText="1"/>
    </xf>
    <xf numFmtId="0" fontId="2" fillId="0" borderId="0" xfId="0" applyFont="1" applyBorder="1" applyAlignment="1">
      <alignment vertical="center"/>
    </xf>
    <xf numFmtId="0" fontId="0" fillId="0" borderId="0" xfId="0" applyFont="1" applyBorder="1"/>
    <xf numFmtId="0" fontId="0" fillId="0" borderId="0" xfId="0" applyFont="1" applyBorder="1" applyAlignment="1">
      <alignment horizontal="right" vertical="center"/>
    </xf>
    <xf numFmtId="0" fontId="0" fillId="0" borderId="0" xfId="0" applyFont="1" applyBorder="1" applyAlignment="1">
      <alignment vertical="center"/>
    </xf>
    <xf numFmtId="166" fontId="9" fillId="0" borderId="0" xfId="1" applyNumberFormat="1" applyFont="1" applyFill="1" applyBorder="1" applyAlignment="1">
      <alignment horizontal="right" vertical="center" wrapText="1"/>
    </xf>
    <xf numFmtId="0" fontId="2" fillId="0" borderId="0" xfId="0" applyFont="1" applyFill="1" applyBorder="1" applyAlignment="1">
      <alignment vertical="center"/>
    </xf>
    <xf numFmtId="164" fontId="0" fillId="0" borderId="0" xfId="1" applyNumberFormat="1" applyFont="1" applyFill="1" applyBorder="1" applyAlignment="1">
      <alignment wrapText="1"/>
    </xf>
    <xf numFmtId="164" fontId="9" fillId="0" borderId="0" xfId="1" applyNumberFormat="1" applyFont="1" applyFill="1" applyBorder="1" applyAlignment="1">
      <alignment wrapText="1"/>
    </xf>
    <xf numFmtId="164" fontId="9" fillId="0" borderId="1" xfId="1" applyNumberFormat="1" applyFont="1" applyFill="1" applyBorder="1" applyAlignment="1">
      <alignment wrapText="1"/>
    </xf>
    <xf numFmtId="164" fontId="0" fillId="0" borderId="0" xfId="1" applyNumberFormat="1" applyFont="1" applyFill="1" applyBorder="1" applyAlignment="1"/>
    <xf numFmtId="164" fontId="9" fillId="0" borderId="0" xfId="1" applyNumberFormat="1" applyFont="1" applyFill="1" applyBorder="1" applyAlignment="1"/>
    <xf numFmtId="43" fontId="9" fillId="0" borderId="0" xfId="1" applyNumberFormat="1" applyFont="1" applyFill="1" applyBorder="1" applyAlignment="1">
      <alignment wrapText="1"/>
    </xf>
    <xf numFmtId="0" fontId="0" fillId="6" borderId="0" xfId="0" applyFont="1" applyFill="1" applyBorder="1" applyAlignment="1">
      <alignment vertical="center" wrapText="1"/>
    </xf>
    <xf numFmtId="164" fontId="0" fillId="6" borderId="0" xfId="1" applyNumberFormat="1" applyFont="1" applyFill="1" applyBorder="1" applyAlignment="1">
      <alignment wrapText="1"/>
    </xf>
    <xf numFmtId="0" fontId="6" fillId="2" borderId="5" xfId="0" applyFont="1" applyFill="1" applyBorder="1"/>
    <xf numFmtId="0" fontId="11" fillId="0" borderId="0" xfId="0" applyFont="1" applyBorder="1" applyAlignment="1">
      <alignment vertical="center"/>
    </xf>
    <xf numFmtId="0" fontId="11" fillId="0" borderId="0" xfId="0" applyFont="1"/>
    <xf numFmtId="0" fontId="2" fillId="7" borderId="0" xfId="0" applyFont="1" applyFill="1"/>
    <xf numFmtId="0" fontId="0" fillId="8" borderId="0" xfId="0" applyFill="1"/>
    <xf numFmtId="0" fontId="0" fillId="0" borderId="0" xfId="0" applyFont="1" applyBorder="1" applyAlignment="1">
      <alignment vertical="center" wrapText="1"/>
    </xf>
    <xf numFmtId="0" fontId="0" fillId="0" borderId="2" xfId="0" applyFont="1" applyBorder="1"/>
    <xf numFmtId="0" fontId="0" fillId="0" borderId="0" xfId="0" applyFont="1"/>
    <xf numFmtId="0" fontId="12" fillId="2" borderId="5" xfId="0" applyFont="1" applyFill="1" applyBorder="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indent="2"/>
    </xf>
    <xf numFmtId="0" fontId="3" fillId="0" borderId="0" xfId="0" applyFont="1" applyAlignment="1">
      <alignment horizontal="left" vertical="center" wrapText="1" indent="1"/>
    </xf>
    <xf numFmtId="0" fontId="3" fillId="0" borderId="3" xfId="0" applyFont="1" applyBorder="1" applyAlignment="1">
      <alignment vertical="center"/>
    </xf>
    <xf numFmtId="0" fontId="3" fillId="0" borderId="0" xfId="0" applyFont="1" applyAlignment="1">
      <alignment vertical="center"/>
    </xf>
    <xf numFmtId="167"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3" fillId="3" borderId="3" xfId="0" applyFont="1" applyFill="1" applyBorder="1" applyAlignment="1">
      <alignment vertical="center"/>
    </xf>
    <xf numFmtId="0" fontId="0" fillId="0" borderId="0" xfId="0" applyFont="1" applyAlignment="1">
      <alignment vertical="top" wrapText="1"/>
    </xf>
    <xf numFmtId="0" fontId="0"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167" fontId="3" fillId="0" borderId="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167" fontId="0" fillId="0" borderId="0" xfId="0" applyNumberFormat="1" applyFont="1"/>
    <xf numFmtId="0" fontId="3" fillId="0" borderId="0" xfId="0" applyNumberFormat="1" applyFont="1" applyAlignment="1">
      <alignment vertical="center"/>
    </xf>
    <xf numFmtId="0" fontId="0" fillId="0" borderId="1" xfId="0" applyFont="1" applyBorder="1"/>
    <xf numFmtId="0" fontId="0" fillId="0" borderId="0" xfId="0" applyFont="1" applyFill="1" applyBorder="1"/>
    <xf numFmtId="0" fontId="0" fillId="0" borderId="0" xfId="0" applyFont="1" applyAlignment="1"/>
    <xf numFmtId="0" fontId="2" fillId="0" borderId="0" xfId="0" applyFont="1" applyBorder="1" applyAlignment="1">
      <alignment horizontal="center" vertical="center" wrapText="1"/>
    </xf>
    <xf numFmtId="0" fontId="0" fillId="0" borderId="0" xfId="0" applyFont="1" applyAlignment="1">
      <alignment wrapText="1"/>
    </xf>
    <xf numFmtId="0" fontId="3" fillId="3" borderId="0" xfId="0" applyFont="1" applyFill="1" applyBorder="1" applyAlignment="1">
      <alignment vertical="center"/>
    </xf>
    <xf numFmtId="0" fontId="0" fillId="0" borderId="11" xfId="0" applyFont="1" applyFill="1" applyBorder="1" applyAlignment="1">
      <alignment horizontal="left" vertical="center" indent="1"/>
    </xf>
    <xf numFmtId="0" fontId="14" fillId="0" borderId="0" xfId="0" applyFont="1"/>
    <xf numFmtId="0" fontId="0" fillId="0" borderId="0" xfId="0" applyAlignment="1">
      <alignment horizontal="left" vertical="top" wrapText="1"/>
    </xf>
    <xf numFmtId="0" fontId="13" fillId="0" borderId="0" xfId="4"/>
    <xf numFmtId="0" fontId="2" fillId="0" borderId="12" xfId="0" applyFont="1" applyBorder="1" applyAlignment="1">
      <alignment horizontal="center"/>
    </xf>
    <xf numFmtId="0" fontId="16" fillId="0" borderId="0" xfId="0" applyFont="1" applyAlignment="1">
      <alignment vertical="center"/>
    </xf>
    <xf numFmtId="0" fontId="0" fillId="0" borderId="0" xfId="0" applyAlignment="1">
      <alignment horizontal="left" vertical="top"/>
    </xf>
    <xf numFmtId="0" fontId="0" fillId="5" borderId="1" xfId="0" applyFont="1" applyFill="1" applyBorder="1" applyAlignment="1" applyProtection="1">
      <alignment horizontal="center" vertical="center" wrapText="1"/>
      <protection locked="0"/>
    </xf>
    <xf numFmtId="0" fontId="0" fillId="5" borderId="0" xfId="0" applyFont="1" applyFill="1" applyAlignment="1" applyProtection="1">
      <alignment horizontal="right"/>
      <protection locked="0"/>
    </xf>
    <xf numFmtId="168" fontId="0" fillId="5" borderId="0" xfId="0" applyNumberFormat="1" applyFont="1" applyFill="1" applyProtection="1">
      <protection locked="0"/>
    </xf>
    <xf numFmtId="0" fontId="0" fillId="5" borderId="0" xfId="0" applyFont="1" applyFill="1" applyProtection="1">
      <protection locked="0"/>
    </xf>
    <xf numFmtId="166" fontId="0" fillId="5" borderId="0" xfId="2" applyNumberFormat="1" applyFont="1" applyFill="1" applyProtection="1">
      <protection locked="0"/>
    </xf>
    <xf numFmtId="0" fontId="0" fillId="0" borderId="0" xfId="0" applyFont="1" applyFill="1" applyProtection="1"/>
    <xf numFmtId="0" fontId="0" fillId="0" borderId="0" xfId="0" applyFont="1" applyProtection="1"/>
    <xf numFmtId="0" fontId="11" fillId="0" borderId="13" xfId="0" applyFont="1" applyBorder="1"/>
    <xf numFmtId="0" fontId="0" fillId="0" borderId="14" xfId="0" applyFont="1" applyBorder="1" applyAlignment="1">
      <alignment vertical="center" wrapText="1"/>
    </xf>
    <xf numFmtId="0" fontId="0" fillId="0" borderId="15" xfId="0" applyFont="1" applyBorder="1"/>
    <xf numFmtId="0" fontId="2" fillId="0" borderId="16" xfId="0" applyFont="1" applyBorder="1" applyAlignment="1">
      <alignment vertical="center"/>
    </xf>
    <xf numFmtId="0" fontId="0" fillId="0" borderId="17" xfId="0" applyFont="1" applyBorder="1" applyAlignment="1">
      <alignment horizontal="right" vertical="center"/>
    </xf>
    <xf numFmtId="0" fontId="0" fillId="0" borderId="16" xfId="0" applyFont="1" applyBorder="1" applyAlignment="1"/>
    <xf numFmtId="164" fontId="0" fillId="0" borderId="17" xfId="1" applyNumberFormat="1" applyFont="1" applyFill="1" applyBorder="1" applyAlignment="1">
      <alignment wrapText="1"/>
    </xf>
    <xf numFmtId="164" fontId="9" fillId="0" borderId="17" xfId="1" applyNumberFormat="1" applyFont="1" applyFill="1" applyBorder="1" applyAlignment="1">
      <alignment wrapText="1"/>
    </xf>
    <xf numFmtId="0" fontId="0" fillId="6" borderId="16" xfId="0" applyFont="1" applyFill="1" applyBorder="1" applyAlignment="1"/>
    <xf numFmtId="164" fontId="0" fillId="6" borderId="17" xfId="1" applyNumberFormat="1" applyFont="1" applyFill="1" applyBorder="1" applyAlignment="1">
      <alignment wrapText="1"/>
    </xf>
    <xf numFmtId="164" fontId="9" fillId="0" borderId="18" xfId="1" applyNumberFormat="1" applyFont="1" applyFill="1" applyBorder="1" applyAlignment="1">
      <alignment wrapText="1"/>
    </xf>
    <xf numFmtId="164" fontId="0" fillId="0" borderId="17" xfId="1" applyNumberFormat="1" applyFont="1" applyBorder="1" applyAlignment="1"/>
    <xf numFmtId="164" fontId="0" fillId="0" borderId="17" xfId="1" applyNumberFormat="1" applyFont="1" applyFill="1" applyBorder="1" applyAlignment="1"/>
    <xf numFmtId="164" fontId="9" fillId="0" borderId="17" xfId="1" applyNumberFormat="1" applyFont="1" applyFill="1" applyBorder="1" applyAlignment="1"/>
    <xf numFmtId="0" fontId="2" fillId="0" borderId="16" xfId="0" applyFont="1" applyBorder="1" applyAlignment="1"/>
    <xf numFmtId="43" fontId="9" fillId="0" borderId="17" xfId="1" applyNumberFormat="1" applyFont="1" applyFill="1" applyBorder="1" applyAlignment="1">
      <alignment wrapText="1"/>
    </xf>
    <xf numFmtId="0" fontId="0" fillId="0" borderId="19" xfId="0" applyFont="1" applyBorder="1"/>
    <xf numFmtId="0" fontId="2" fillId="9" borderId="0" xfId="0" applyFont="1" applyFill="1" applyBorder="1" applyAlignment="1">
      <alignment vertical="center"/>
    </xf>
    <xf numFmtId="43" fontId="9" fillId="9" borderId="17" xfId="1" applyNumberFormat="1" applyFont="1" applyFill="1" applyBorder="1" applyAlignment="1">
      <alignment wrapText="1"/>
    </xf>
    <xf numFmtId="0" fontId="2" fillId="9" borderId="12" xfId="0" applyFont="1" applyFill="1" applyBorder="1" applyAlignment="1">
      <alignment vertical="center"/>
    </xf>
    <xf numFmtId="166" fontId="9" fillId="9" borderId="20" xfId="1" applyNumberFormat="1" applyFont="1" applyFill="1" applyBorder="1" applyAlignment="1">
      <alignment horizontal="right" vertical="center" wrapText="1"/>
    </xf>
    <xf numFmtId="166" fontId="9" fillId="9" borderId="17" xfId="2" applyNumberFormat="1" applyFont="1" applyFill="1" applyBorder="1" applyAlignment="1">
      <alignment wrapText="1"/>
    </xf>
    <xf numFmtId="0" fontId="2" fillId="0" borderId="14" xfId="0" applyFont="1" applyBorder="1" applyAlignment="1">
      <alignment vertical="center"/>
    </xf>
    <xf numFmtId="0" fontId="0" fillId="0" borderId="14" xfId="0" applyFont="1" applyBorder="1"/>
    <xf numFmtId="164" fontId="0" fillId="0" borderId="0" xfId="1" applyNumberFormat="1" applyFont="1" applyBorder="1" applyAlignment="1"/>
    <xf numFmtId="0" fontId="0" fillId="0" borderId="19" xfId="0" applyFont="1" applyBorder="1" applyAlignment="1"/>
    <xf numFmtId="43" fontId="9" fillId="9" borderId="0" xfId="1" applyNumberFormat="1" applyFont="1" applyFill="1" applyBorder="1" applyAlignment="1">
      <alignment wrapText="1"/>
    </xf>
    <xf numFmtId="166" fontId="10" fillId="9" borderId="0" xfId="1" applyNumberFormat="1" applyFont="1" applyFill="1" applyBorder="1" applyAlignment="1">
      <alignment horizontal="right" vertical="center" wrapText="1"/>
    </xf>
    <xf numFmtId="166" fontId="9" fillId="9" borderId="17" xfId="1" applyNumberFormat="1" applyFont="1" applyFill="1" applyBorder="1" applyAlignment="1">
      <alignment horizontal="right" vertical="center" wrapText="1"/>
    </xf>
    <xf numFmtId="166" fontId="9" fillId="9" borderId="12" xfId="1" applyNumberFormat="1" applyFont="1" applyFill="1" applyBorder="1" applyAlignment="1">
      <alignment horizontal="right" vertical="center" wrapText="1"/>
    </xf>
    <xf numFmtId="0" fontId="0" fillId="0" borderId="0" xfId="0" applyFont="1" applyAlignment="1">
      <alignment horizontal="center" wrapText="1"/>
    </xf>
    <xf numFmtId="0" fontId="17" fillId="0" borderId="0" xfId="0" applyFont="1"/>
    <xf numFmtId="0" fontId="19" fillId="0" borderId="0" xfId="0" applyFont="1"/>
    <xf numFmtId="0" fontId="0" fillId="0" borderId="1" xfId="0" applyFont="1" applyBorder="1" applyAlignment="1">
      <alignment vertical="center"/>
    </xf>
    <xf numFmtId="0" fontId="15" fillId="0" borderId="0" xfId="0" applyFont="1" applyBorder="1" applyAlignment="1">
      <alignment vertical="center"/>
    </xf>
    <xf numFmtId="0" fontId="19" fillId="0" borderId="0" xfId="0" applyFont="1" applyAlignment="1">
      <alignment horizontal="left" vertical="top"/>
    </xf>
    <xf numFmtId="0" fontId="17" fillId="10" borderId="21" xfId="0" applyFont="1" applyFill="1" applyBorder="1" applyAlignment="1">
      <alignment horizontal="left"/>
    </xf>
    <xf numFmtId="0" fontId="17" fillId="10" borderId="22" xfId="0" applyFont="1" applyFill="1" applyBorder="1" applyAlignment="1">
      <alignment horizontal="left"/>
    </xf>
    <xf numFmtId="0" fontId="2" fillId="10" borderId="23" xfId="0" applyFont="1" applyFill="1" applyBorder="1" applyAlignment="1">
      <alignment horizontal="center"/>
    </xf>
    <xf numFmtId="0" fontId="18" fillId="10" borderId="24" xfId="4" applyFont="1" applyFill="1" applyBorder="1" applyAlignment="1">
      <alignment horizontal="left"/>
    </xf>
    <xf numFmtId="0" fontId="11" fillId="10" borderId="0" xfId="0" applyFont="1" applyFill="1" applyBorder="1" applyAlignment="1">
      <alignment horizontal="left"/>
    </xf>
    <xf numFmtId="0" fontId="0" fillId="10" borderId="0" xfId="0" applyFill="1" applyBorder="1"/>
    <xf numFmtId="0" fontId="0" fillId="10" borderId="25" xfId="0" applyFill="1" applyBorder="1"/>
    <xf numFmtId="0" fontId="18" fillId="10" borderId="26" xfId="4" applyFont="1" applyFill="1" applyBorder="1" applyAlignment="1">
      <alignment horizontal="left"/>
    </xf>
    <xf numFmtId="0" fontId="0" fillId="10" borderId="1" xfId="0" applyFill="1" applyBorder="1"/>
    <xf numFmtId="0" fontId="11" fillId="10" borderId="1" xfId="0" applyFont="1" applyFill="1" applyBorder="1" applyAlignment="1">
      <alignment horizontal="left"/>
    </xf>
    <xf numFmtId="0" fontId="0" fillId="10" borderId="27" xfId="0" applyFill="1" applyBorder="1"/>
    <xf numFmtId="0" fontId="0" fillId="0" borderId="3" xfId="0" applyFont="1" applyBorder="1" applyAlignment="1">
      <alignment wrapText="1"/>
    </xf>
    <xf numFmtId="0" fontId="17" fillId="0" borderId="0" xfId="0" applyFont="1" applyAlignment="1">
      <alignment vertical="center"/>
    </xf>
    <xf numFmtId="0" fontId="0" fillId="0" borderId="28" xfId="0" applyFont="1" applyBorder="1"/>
    <xf numFmtId="0" fontId="0" fillId="0" borderId="1" xfId="0" applyFont="1" applyBorder="1" applyAlignment="1">
      <alignment vertical="center" wrapText="1"/>
    </xf>
    <xf numFmtId="0" fontId="2" fillId="0" borderId="1"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11" fillId="0" borderId="0" xfId="0" applyFont="1" applyAlignment="1">
      <alignment horizontal="center"/>
    </xf>
    <xf numFmtId="0" fontId="20" fillId="0" borderId="0" xfId="0" applyFont="1" applyBorder="1" applyAlignment="1">
      <alignment vertical="center"/>
    </xf>
  </cellXfs>
  <cellStyles count="5">
    <cellStyle name="Comma" xfId="1" builtinId="3"/>
    <cellStyle name="Currency" xfId="2" builtinId="4"/>
    <cellStyle name="Hyperlink" xfId="4" builtinId="8"/>
    <cellStyle name="Normal" xfId="0" builtinId="0"/>
    <cellStyle name="Percent" xfId="3" builtinId="5"/>
  </cellStyles>
  <dxfs count="57">
    <dxf>
      <font>
        <strike val="0"/>
        <outline val="0"/>
        <shadow val="0"/>
        <u val="none"/>
        <vertAlign val="baseline"/>
        <name val="Calibri"/>
        <family val="2"/>
        <scheme val="minor"/>
      </font>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name val="Calibri"/>
        <family val="2"/>
        <scheme val="minor"/>
      </font>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strike val="0"/>
        <outline val="0"/>
        <shadow val="0"/>
        <u val="none"/>
        <vertAlign val="baseline"/>
        <name val="Calibri"/>
        <family val="2"/>
        <scheme val="minor"/>
      </font>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name val="Calibri"/>
        <family val="2"/>
        <scheme val="minor"/>
      </font>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0"/>
        <name val="Calibri"/>
        <family val="2"/>
        <scheme val="minor"/>
      </font>
      <fill>
        <patternFill patternType="solid">
          <fgColor theme="4" tint="0.79995117038483843"/>
          <bgColor rgb="FF0070C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0"/>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style="thin">
          <color theme="4" tint="0.39997558519241921"/>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rder>
    </dxf>
    <dxf>
      <font>
        <strike val="0"/>
        <outline val="0"/>
        <shadow val="0"/>
        <u val="none"/>
        <vertAlign val="baseline"/>
        <name val="Calibri"/>
        <family val="2"/>
        <scheme val="minor"/>
      </font>
    </dxf>
    <dxf>
      <border outline="0">
        <bottom style="thin">
          <color theme="4" tint="0.39997558519241921"/>
        </bottom>
      </border>
    </dxf>
    <dxf>
      <font>
        <strike val="0"/>
        <outline val="0"/>
        <shadow val="0"/>
        <u val="none"/>
        <vertAlign val="baseline"/>
        <name val="Calibri"/>
        <family val="2"/>
        <scheme val="minor"/>
      </font>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7" formatCode="0.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7" formatCode="0.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1"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https://extension.msstate.edu/publications/farm-machinery-cost-calculations"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21</xdr:row>
      <xdr:rowOff>63095</xdr:rowOff>
    </xdr:from>
    <xdr:to>
      <xdr:col>5</xdr:col>
      <xdr:colOff>552449</xdr:colOff>
      <xdr:row>27</xdr:row>
      <xdr:rowOff>165781</xdr:rowOff>
    </xdr:to>
    <xdr:pic>
      <xdr:nvPicPr>
        <xdr:cNvPr id="8" name="Picture 7">
          <a:extLst>
            <a:ext uri="{FF2B5EF4-FFF2-40B4-BE49-F238E27FC236}">
              <a16:creationId xmlns:a16="http://schemas.microsoft.com/office/drawing/2014/main" id="{1F537CB0-ABB3-46B2-8870-D0A75B2A4953}"/>
            </a:ext>
          </a:extLst>
        </xdr:cNvPr>
        <xdr:cNvPicPr>
          <a:picLocks noChangeAspect="1"/>
        </xdr:cNvPicPr>
      </xdr:nvPicPr>
      <xdr:blipFill>
        <a:blip xmlns:r="http://schemas.openxmlformats.org/officeDocument/2006/relationships" r:embed="rId1"/>
        <a:stretch>
          <a:fillRect/>
        </a:stretch>
      </xdr:blipFill>
      <xdr:spPr>
        <a:xfrm>
          <a:off x="3238500" y="4215995"/>
          <a:ext cx="2190749" cy="1274261"/>
        </a:xfrm>
        <a:prstGeom prst="rect">
          <a:avLst/>
        </a:prstGeom>
      </xdr:spPr>
    </xdr:pic>
    <xdr:clientData/>
  </xdr:twoCellAnchor>
  <xdr:twoCellAnchor editAs="oneCell">
    <xdr:from>
      <xdr:col>7</xdr:col>
      <xdr:colOff>38100</xdr:colOff>
      <xdr:row>21</xdr:row>
      <xdr:rowOff>54284</xdr:rowOff>
    </xdr:from>
    <xdr:to>
      <xdr:col>10</xdr:col>
      <xdr:colOff>247650</xdr:colOff>
      <xdr:row>28</xdr:row>
      <xdr:rowOff>38100</xdr:rowOff>
    </xdr:to>
    <xdr:pic>
      <xdr:nvPicPr>
        <xdr:cNvPr id="9" name="Picture 8">
          <a:extLst>
            <a:ext uri="{FF2B5EF4-FFF2-40B4-BE49-F238E27FC236}">
              <a16:creationId xmlns:a16="http://schemas.microsoft.com/office/drawing/2014/main" id="{80B9766E-DD03-437A-942C-910BAC1A5D64}"/>
            </a:ext>
          </a:extLst>
        </xdr:cNvPr>
        <xdr:cNvPicPr>
          <a:picLocks noChangeAspect="1"/>
        </xdr:cNvPicPr>
      </xdr:nvPicPr>
      <xdr:blipFill>
        <a:blip xmlns:r="http://schemas.openxmlformats.org/officeDocument/2006/relationships" r:embed="rId2"/>
        <a:stretch>
          <a:fillRect/>
        </a:stretch>
      </xdr:blipFill>
      <xdr:spPr>
        <a:xfrm>
          <a:off x="6134100" y="4207184"/>
          <a:ext cx="2286000" cy="1355416"/>
        </a:xfrm>
        <a:prstGeom prst="rect">
          <a:avLst/>
        </a:prstGeom>
      </xdr:spPr>
    </xdr:pic>
    <xdr:clientData/>
  </xdr:twoCellAnchor>
  <xdr:twoCellAnchor>
    <xdr:from>
      <xdr:col>0</xdr:col>
      <xdr:colOff>0</xdr:colOff>
      <xdr:row>36</xdr:row>
      <xdr:rowOff>28575</xdr:rowOff>
    </xdr:from>
    <xdr:to>
      <xdr:col>12</xdr:col>
      <xdr:colOff>361950</xdr:colOff>
      <xdr:row>41</xdr:row>
      <xdr:rowOff>19050</xdr:rowOff>
    </xdr:to>
    <xdr:sp macro="" textlink="" fLocksText="0">
      <xdr:nvSpPr>
        <xdr:cNvPr id="10" name="TextBox 1">
          <a:extLst>
            <a:ext uri="{FF2B5EF4-FFF2-40B4-BE49-F238E27FC236}">
              <a16:creationId xmlns:a16="http://schemas.microsoft.com/office/drawing/2014/main" id="{CD6E7D5B-6C47-4144-A1D1-96876E71E868}"/>
            </a:ext>
          </a:extLst>
        </xdr:cNvPr>
        <xdr:cNvSpPr txBox="1">
          <a:spLocks noChangeArrowheads="1"/>
        </xdr:cNvSpPr>
      </xdr:nvSpPr>
      <xdr:spPr bwMode="auto">
        <a:xfrm>
          <a:off x="0" y="8115300"/>
          <a:ext cx="9753600" cy="942975"/>
        </a:xfrm>
        <a:prstGeom prst="rect">
          <a:avLst/>
        </a:prstGeom>
        <a:solidFill>
          <a:schemeClr val="bg1"/>
        </a:solidFill>
        <a:ln w="9360" cap="sq">
          <a:solidFill>
            <a:srgbClr val="5B9BD5"/>
          </a:solidFill>
          <a:miter lim="800000"/>
          <a:headEnd/>
          <a:tailEnd/>
        </a:ln>
        <a:effectLst/>
      </xdr:spPr>
      <xdr:txBody>
        <a:bodyPr vertOverflow="clip" wrap="square" lIns="20160" tIns="20160" rIns="20160" bIns="20160" anchor="t"/>
        <a:lstStyle/>
        <a:p>
          <a:pPr algn="l" rtl="0">
            <a:defRPr sz="1000"/>
          </a:pPr>
          <a:r>
            <a:rPr lang="en-US" sz="1100" b="0" i="0" u="none" strike="noStrike" baseline="0">
              <a:solidFill>
                <a:srgbClr val="FF0000"/>
              </a:solidFill>
              <a:latin typeface="Calibri"/>
              <a:cs typeface="Calibri"/>
            </a:rPr>
            <a:t>CAUTION</a:t>
          </a:r>
          <a:r>
            <a:rPr lang="en-US" sz="1100" b="0" i="0" u="none" strike="noStrike" baseline="0">
              <a:solidFill>
                <a:srgbClr val="000000"/>
              </a:solidFill>
              <a:latin typeface="Calibri"/>
              <a:cs typeface="Calibri"/>
            </a:rPr>
            <a:t>: This information is for educational purposes only. Use this program as a Guide Only. The users assume the risk of using or otherwise relying upon any calculator output. Mississippi State Extension Service does not warrant the functionality of the calculator or that any errors can or will be discovered or corrected. Mississippi State Extension Service does not warrant the accuracy or completeness of any calculator output. The calculators, their operation and any output is provided "as is" and without any express or implied warranty, including merchantability or fitness for a particular purpose. Mississippi State Extension Service shall not be bound by any calculator output and is not responsible for use or reliance on such output.</a:t>
          </a:r>
        </a:p>
        <a:p>
          <a:pPr algn="l" rtl="0">
            <a:defRPr sz="1000"/>
          </a:pPr>
          <a:endParaRPr lang="en-US" sz="1100" b="0" i="0" u="none" strike="noStrike" baseline="0">
            <a:solidFill>
              <a:srgbClr val="000000"/>
            </a:solidFill>
            <a:latin typeface="Calibri"/>
            <a:cs typeface="Calibri"/>
          </a:endParaRPr>
        </a:p>
      </xdr:txBody>
    </xdr:sp>
    <xdr:clientData/>
  </xdr:twoCellAnchor>
  <xdr:twoCellAnchor editAs="oneCell">
    <xdr:from>
      <xdr:col>7</xdr:col>
      <xdr:colOff>57150</xdr:colOff>
      <xdr:row>30</xdr:row>
      <xdr:rowOff>19050</xdr:rowOff>
    </xdr:from>
    <xdr:to>
      <xdr:col>10</xdr:col>
      <xdr:colOff>554446</xdr:colOff>
      <xdr:row>35</xdr:row>
      <xdr:rowOff>124967</xdr:rowOff>
    </xdr:to>
    <xdr:pic>
      <xdr:nvPicPr>
        <xdr:cNvPr id="12" name="Picture 11">
          <a:extLst>
            <a:ext uri="{FF2B5EF4-FFF2-40B4-BE49-F238E27FC236}">
              <a16:creationId xmlns:a16="http://schemas.microsoft.com/office/drawing/2014/main" id="{772759E8-F343-4ACB-9123-69E164057A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53150" y="5010150"/>
          <a:ext cx="2573746" cy="1058417"/>
        </a:xfrm>
        <a:prstGeom prst="rect">
          <a:avLst/>
        </a:prstGeom>
      </xdr:spPr>
    </xdr:pic>
    <xdr:clientData/>
  </xdr:twoCellAnchor>
  <xdr:twoCellAnchor editAs="oneCell">
    <xdr:from>
      <xdr:col>0</xdr:col>
      <xdr:colOff>0</xdr:colOff>
      <xdr:row>30</xdr:row>
      <xdr:rowOff>36846</xdr:rowOff>
    </xdr:from>
    <xdr:to>
      <xdr:col>2</xdr:col>
      <xdr:colOff>76200</xdr:colOff>
      <xdr:row>35</xdr:row>
      <xdr:rowOff>0</xdr:rowOff>
    </xdr:to>
    <xdr:pic>
      <xdr:nvPicPr>
        <xdr:cNvPr id="14" name="Picture 13">
          <a:extLst>
            <a:ext uri="{FF2B5EF4-FFF2-40B4-BE49-F238E27FC236}">
              <a16:creationId xmlns:a16="http://schemas.microsoft.com/office/drawing/2014/main" id="{6B8C4E56-1E20-442C-AC50-296EE9B0C2D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027946"/>
          <a:ext cx="2676525" cy="915654"/>
        </a:xfrm>
        <a:prstGeom prst="rect">
          <a:avLst/>
        </a:prstGeom>
      </xdr:spPr>
    </xdr:pic>
    <xdr:clientData/>
  </xdr:twoCellAnchor>
  <xdr:oneCellAnchor>
    <xdr:from>
      <xdr:col>2</xdr:col>
      <xdr:colOff>0</xdr:colOff>
      <xdr:row>29</xdr:row>
      <xdr:rowOff>161925</xdr:rowOff>
    </xdr:from>
    <xdr:ext cx="3095624" cy="1094146"/>
    <xdr:sp macro="" textlink="">
      <xdr:nvSpPr>
        <xdr:cNvPr id="15" name="TextBox 14">
          <a:extLst>
            <a:ext uri="{FF2B5EF4-FFF2-40B4-BE49-F238E27FC236}">
              <a16:creationId xmlns:a16="http://schemas.microsoft.com/office/drawing/2014/main" id="{6307A67D-B0EF-4CDA-9983-4158D7F92EBF}"/>
            </a:ext>
          </a:extLst>
        </xdr:cNvPr>
        <xdr:cNvSpPr txBox="1"/>
      </xdr:nvSpPr>
      <xdr:spPr>
        <a:xfrm>
          <a:off x="2895601" y="4962525"/>
          <a:ext cx="3095624" cy="10941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This material is based upon work supported by USDA/NIFA under Award Number</a:t>
          </a:r>
        </a:p>
        <a:p>
          <a:r>
            <a:rPr lang="en-US" sz="1600">
              <a:solidFill>
                <a:schemeClr val="tx1"/>
              </a:solidFill>
              <a:effectLst/>
              <a:latin typeface="+mn-lt"/>
              <a:ea typeface="+mn-ea"/>
              <a:cs typeface="+mn-cs"/>
            </a:rPr>
            <a:t>2018-70027-28585.</a:t>
          </a:r>
          <a:endParaRPr lang="en-US" sz="1100"/>
        </a:p>
      </xdr:txBody>
    </xdr:sp>
    <xdr:clientData/>
  </xdr:oneCellAnchor>
  <xdr:oneCellAnchor>
    <xdr:from>
      <xdr:col>14</xdr:col>
      <xdr:colOff>152400</xdr:colOff>
      <xdr:row>2</xdr:row>
      <xdr:rowOff>133350</xdr:rowOff>
    </xdr:from>
    <xdr:ext cx="184731" cy="264560"/>
    <xdr:sp macro="" textlink="">
      <xdr:nvSpPr>
        <xdr:cNvPr id="2" name="TextBox 1">
          <a:extLst>
            <a:ext uri="{FF2B5EF4-FFF2-40B4-BE49-F238E27FC236}">
              <a16:creationId xmlns:a16="http://schemas.microsoft.com/office/drawing/2014/main" id="{22FDDB80-F196-44C3-B4A8-62340772FEF1}"/>
            </a:ext>
          </a:extLst>
        </xdr:cNvPr>
        <xdr:cNvSpPr txBox="1"/>
      </xdr:nvSpPr>
      <xdr:spPr>
        <a:xfrm>
          <a:off x="107632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161925</xdr:colOff>
      <xdr:row>1</xdr:row>
      <xdr:rowOff>95248</xdr:rowOff>
    </xdr:from>
    <xdr:ext cx="9220200" cy="1238251"/>
    <xdr:sp macro="" textlink="">
      <xdr:nvSpPr>
        <xdr:cNvPr id="4" name="TextBox 3">
          <a:extLst>
            <a:ext uri="{FF2B5EF4-FFF2-40B4-BE49-F238E27FC236}">
              <a16:creationId xmlns:a16="http://schemas.microsoft.com/office/drawing/2014/main" id="{C35C5368-2DE8-4673-B318-32835ED6C97E}"/>
            </a:ext>
          </a:extLst>
        </xdr:cNvPr>
        <xdr:cNvSpPr txBox="1"/>
      </xdr:nvSpPr>
      <xdr:spPr>
        <a:xfrm>
          <a:off x="161925" y="428623"/>
          <a:ext cx="9220200" cy="1238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Excel spreadsheet provides a framework to calculate annual farm machinery costs.  The calculations may be made for individual implements, for tractor plus implement operations, and for self-propelled equipment.  The calculations rely on farm machinery performance data developed by the American Society of Agricultural and Biological Engineers (ASABE) and published in ASABE Standards.  The calculations include annual ownership costs, annual operating costs, total annual costs, costs per hour, and costs per acre.  </a:t>
          </a:r>
        </a:p>
      </xdr:txBody>
    </xdr:sp>
    <xdr:clientData/>
  </xdr:oneCellAnchor>
  <xdr:oneCellAnchor>
    <xdr:from>
      <xdr:col>0</xdr:col>
      <xdr:colOff>171450</xdr:colOff>
      <xdr:row>6</xdr:row>
      <xdr:rowOff>123825</xdr:rowOff>
    </xdr:from>
    <xdr:ext cx="9105900" cy="742950"/>
    <xdr:sp macro="" textlink="">
      <xdr:nvSpPr>
        <xdr:cNvPr id="5" name="TextBox 4">
          <a:extLst>
            <a:ext uri="{FF2B5EF4-FFF2-40B4-BE49-F238E27FC236}">
              <a16:creationId xmlns:a16="http://schemas.microsoft.com/office/drawing/2014/main" id="{28978338-5C4B-468E-9EF3-A856101A49B8}"/>
            </a:ext>
          </a:extLst>
        </xdr:cNvPr>
        <xdr:cNvSpPr txBox="1"/>
      </xdr:nvSpPr>
      <xdr:spPr>
        <a:xfrm>
          <a:off x="171450" y="1647825"/>
          <a:ext cx="9105900" cy="742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Select the</a:t>
          </a:r>
          <a:r>
            <a:rPr lang="en-US" sz="1400" baseline="0"/>
            <a:t> type of calculation from the Table of Contents below, then complete the required initital information in the blue shaded areas in the worksheet.  The results of the calculations will be in the bordered area on the right side of the worksheet.</a:t>
          </a:r>
          <a:endParaRPr lang="en-US" sz="1400"/>
        </a:p>
      </xdr:txBody>
    </xdr:sp>
    <xdr:clientData/>
  </xdr:oneCellAnchor>
  <xdr:oneCellAnchor>
    <xdr:from>
      <xdr:col>0</xdr:col>
      <xdr:colOff>152400</xdr:colOff>
      <xdr:row>10</xdr:row>
      <xdr:rowOff>133351</xdr:rowOff>
    </xdr:from>
    <xdr:ext cx="9105900" cy="533399"/>
    <xdr:sp macro="" textlink="">
      <xdr:nvSpPr>
        <xdr:cNvPr id="13" name="TextBox 12">
          <a:hlinkClick xmlns:r="http://schemas.openxmlformats.org/officeDocument/2006/relationships" r:id="rId5"/>
          <a:extLst>
            <a:ext uri="{FF2B5EF4-FFF2-40B4-BE49-F238E27FC236}">
              <a16:creationId xmlns:a16="http://schemas.microsoft.com/office/drawing/2014/main" id="{1AC60000-7EA1-4BFF-972C-CD74F884D9EE}"/>
            </a:ext>
          </a:extLst>
        </xdr:cNvPr>
        <xdr:cNvSpPr txBox="1"/>
      </xdr:nvSpPr>
      <xdr:spPr>
        <a:xfrm>
          <a:off x="152400" y="2419351"/>
          <a:ext cx="9105900" cy="533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The</a:t>
          </a:r>
          <a:r>
            <a:rPr lang="en-US" sz="1400" baseline="0"/>
            <a:t>  MSU Extension publication, </a:t>
          </a:r>
          <a:r>
            <a:rPr lang="en-US" sz="1400" baseline="0">
              <a:solidFill>
                <a:schemeClr val="accent5">
                  <a:lumMod val="75000"/>
                </a:schemeClr>
              </a:solidFill>
            </a:rPr>
            <a:t>Farm Machinery Cost Calculations</a:t>
          </a:r>
          <a:r>
            <a:rPr lang="en-US" sz="1400" baseline="0"/>
            <a:t>, P3543, contains more information on machinery cost calculations.  </a:t>
          </a:r>
          <a:endParaRPr lang="en-US" sz="14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BB030B-9410-41BB-838F-3D50D83C8A26}" name="Table1" displayName="Table1" ref="A3:A10" totalsRowShown="0" headerRowDxfId="56" dataDxfId="55">
  <autoFilter ref="A3:A10" xr:uid="{875A6ADD-51CC-4B4E-B173-90FE5A43A3E4}"/>
  <sortState xmlns:xlrd2="http://schemas.microsoft.com/office/spreadsheetml/2017/richdata2" ref="A4:A8">
    <sortCondition ref="A4"/>
  </sortState>
  <tableColumns count="1">
    <tableColumn id="1" xr3:uid="{6BA4B523-F5F6-4A96-AE6B-332B20FB0321}" name="Equipment Category" dataDxfId="5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DAB5B5-043A-45FB-8FF6-C21F5F5B4CAF}" name="Table2" displayName="Table2" ref="L3:W42" totalsRowShown="0" headerRowDxfId="53" dataDxfId="52">
  <autoFilter ref="L3:W42" xr:uid="{51E0A483-0726-443D-A75A-CEDFF40D27B2}"/>
  <sortState xmlns:xlrd2="http://schemas.microsoft.com/office/spreadsheetml/2017/richdata2" ref="L4:W41">
    <sortCondition ref="M4:M41"/>
  </sortState>
  <tableColumns count="12">
    <tableColumn id="1" xr3:uid="{12AE3E67-89FE-4960-A4AF-2581E52AAA0E}" name="Equipment category" dataDxfId="51"/>
    <tableColumn id="2" xr3:uid="{A8B4294E-CF12-487B-A240-95FD6D5B26B1}" name="Equipment type" dataDxfId="50"/>
    <tableColumn id="3" xr3:uid="{1C593C4A-46FC-43EE-BCFE-FEB895A8FE82}" name="FE Range" dataDxfId="49"/>
    <tableColumn id="4" xr3:uid="{B1C6623B-26CC-4E03-A4F4-708A3C035397}" name="FE Typical" dataDxfId="48"/>
    <tableColumn id="5" xr3:uid="{FFEC3017-4C9B-46CB-9DFB-20939C741FC5}" name="FS Range" dataDxfId="47"/>
    <tableColumn id="6" xr3:uid="{84D7373F-4A5E-4FD1-9DA6-B8B8DDF390CC}" name="FS Typical" dataDxfId="46"/>
    <tableColumn id="7" xr3:uid="{955770EC-D8F5-4ACC-A2D2-1584CE542C15}" name="Est. Life" dataDxfId="45"/>
    <tableColumn id="8" xr3:uid="{0AC13A57-D1B8-4B24-97D8-D16A4D0792DE}" name="Tot. Life" dataDxfId="44"/>
    <tableColumn id="9" xr3:uid="{B34A30F3-0E09-4D9B-A2CA-7A3F9086075B}" name="RF1" dataDxfId="43"/>
    <tableColumn id="10" xr3:uid="{3B2A0C2F-D40F-4413-9CC6-AFA01DB103C6}" name="RF2" dataDxfId="42"/>
    <tableColumn id="11" xr3:uid="{79A28EC7-1B0C-4CDE-8AF9-32D24D224C26}" name="ARF" dataDxfId="41"/>
    <tableColumn id="12" xr3:uid="{CB6A56C9-561B-4A65-930F-C24FC9984795}" name="Column1" dataDxfId="4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5D044C-9230-4F84-B9C5-DF4CA80DD8BC}" name="Table3" displayName="Table3" ref="I3:J41" totalsRowShown="0" headerRowDxfId="39" dataDxfId="37" headerRowBorderDxfId="38" tableBorderDxfId="36" totalsRowBorderDxfId="35">
  <autoFilter ref="I3:J41" xr:uid="{66D53B1C-E92D-4835-8007-D76A8091BBCE}"/>
  <sortState xmlns:xlrd2="http://schemas.microsoft.com/office/spreadsheetml/2017/richdata2" ref="I4:J41">
    <sortCondition ref="I4:I41"/>
    <sortCondition ref="J4:J41"/>
  </sortState>
  <tableColumns count="2">
    <tableColumn id="1" xr3:uid="{E3823BBA-A7FB-4EA3-9A4C-8034EBD35C17}" name="Equipment category" dataDxfId="34"/>
    <tableColumn id="2" xr3:uid="{80ECB3FA-E022-45FD-80F1-6637AFB540DB}" name="Equipment type" dataDxfId="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769DB2A-6ECB-4717-A575-AAA3154D25A2}" name="Table8" displayName="Table8" ref="Y3:AH15" totalsRowShown="0" headerRowDxfId="32" dataDxfId="31">
  <autoFilter ref="Y3:AH15" xr:uid="{CC4E8E29-A0B6-4AA3-BC8D-A575F95181B0}"/>
  <tableColumns count="10">
    <tableColumn id="1" xr3:uid="{7B4B1AAE-2A41-4A06-A6BE-4AA0D9EBA183}" name="Age of Machine in years" dataDxfId="30"/>
    <tableColumn id="2" xr3:uid="{DA4D269E-AFDC-4CED-B2C5-A3D8D08289CD}" name="HARVESTING, CROP" dataDxfId="29"/>
    <tableColumn id="9" xr3:uid="{66713B43-1633-4A56-8429-C4C0439BB63C}" name="HARVESTING, CROP SP" dataDxfId="28"/>
    <tableColumn id="3" xr3:uid="{6FE9E2AF-C0FD-4C0E-894A-73707D78B1B4}" name="HARVESTING, FORAGE" dataDxfId="27"/>
    <tableColumn id="10" xr3:uid="{5C006831-283C-4C85-A3A8-27C98AEC7235}" name="HARVESTING, FORAGE SP" dataDxfId="26"/>
    <tableColumn id="4" xr3:uid="{07FD4F5D-DEE6-46B7-8435-80CD4C2F7E01}" name="MISCELLANEOUS" dataDxfId="25"/>
    <tableColumn id="5" xr3:uid="{1A48E8FB-04E8-418A-87DD-42F16723C4E8}" name="PLANTERS" dataDxfId="24"/>
    <tableColumn id="6" xr3:uid="{E5C5E128-6924-4579-8679-B402089A6969}" name="TILLAGE" dataDxfId="23"/>
    <tableColumn id="7" xr3:uid="{E3F02682-260B-41B1-8145-BEE7526D4C3A}" name="TRACTORS 150+ hp" dataDxfId="22"/>
    <tableColumn id="8" xr3:uid="{897A9492-AD3F-454A-88F1-1C7EFEDBC817}" name="TRACTORS 80-149 hp" dataDxfId="2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38D2C72-FEA9-4FF9-ABAB-D0DEBF7438E4}" name="Table114" displayName="Table114" ref="G56:G63" totalsRowShown="0" headerRowDxfId="20" dataDxfId="19">
  <autoFilter ref="G56:G63" xr:uid="{21F77E81-2FA2-4CA7-944E-61724CB63A49}">
    <filterColumn colId="0">
      <filters>
        <filter val="HARVESTING, CROP"/>
        <filter val="HARVESTING, FORAGE"/>
      </filters>
    </filterColumn>
  </autoFilter>
  <sortState xmlns:xlrd2="http://schemas.microsoft.com/office/spreadsheetml/2017/richdata2" ref="G57:G61">
    <sortCondition ref="G4"/>
  </sortState>
  <tableColumns count="1">
    <tableColumn id="1" xr3:uid="{0BC503A2-8482-41FE-8A4C-FAF2F2940B8C}" name="Equipment Category" dataDxfId="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8761CC9-BBDD-446C-938B-C209C0E08846}" name="Table14" displayName="Table14" ref="C3:C5" totalsRowShown="0" headerRowDxfId="17" dataDxfId="15" headerRowBorderDxfId="16" tableBorderDxfId="14" totalsRowBorderDxfId="13">
  <autoFilter ref="C3:C5" xr:uid="{8E6DA8B0-ECC6-45BD-81A4-EA03815231A9}"/>
  <sortState xmlns:xlrd2="http://schemas.microsoft.com/office/spreadsheetml/2017/richdata2" ref="C4:C5">
    <sortCondition ref="C4"/>
  </sortState>
  <tableColumns count="1">
    <tableColumn id="1" xr3:uid="{49582B86-9320-4C31-A3E7-7F760E750BBC}" name="Equipment Category" dataDxfId="1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B410548-765E-4595-9F43-0640A49FD4F2}" name="Table15" displayName="Table15" ref="E3:E8" totalsRowShown="0" headerRowDxfId="11" dataDxfId="9" headerRowBorderDxfId="10" tableBorderDxfId="8" totalsRowBorderDxfId="7">
  <autoFilter ref="E3:E8" xr:uid="{88672062-F2C5-4A9A-858C-F48011E4B6DA}"/>
  <tableColumns count="1">
    <tableColumn id="1" xr3:uid="{A5B5AFE6-154B-4EC2-911E-296A6F8F5A75}" name="Equipment Category"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3D31E47-57D3-4340-99C3-C5C09F9586DD}" name="Table16" displayName="Table16" ref="G3:G5" totalsRowShown="0" headerRowDxfId="5" dataDxfId="3" headerRowBorderDxfId="4" tableBorderDxfId="2" totalsRowBorderDxfId="1">
  <autoFilter ref="G3:G5" xr:uid="{4B23A09F-2E9E-444D-851D-1B915040EB06}"/>
  <tableColumns count="1">
    <tableColumn id="1" xr3:uid="{A7DF835E-CAD1-47A7-A7BA-63FF1D7EDDAD}" name="Equipment Catego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ff.johnson@msstate.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80C8-77B2-4558-BE13-3B5B1D2D811D}">
  <dimension ref="A1:AA98"/>
  <sheetViews>
    <sheetView showGridLines="0" tabSelected="1" workbookViewId="0">
      <selection activeCell="B16" sqref="B16"/>
    </sheetView>
  </sheetViews>
  <sheetFormatPr defaultRowHeight="15" x14ac:dyDescent="0.25"/>
  <cols>
    <col min="2" max="2" width="29.85546875" customWidth="1"/>
    <col min="9" max="9" width="12.85546875" customWidth="1"/>
  </cols>
  <sheetData>
    <row r="1" spans="1:14" ht="26.25" x14ac:dyDescent="0.4">
      <c r="A1" s="73" t="s">
        <v>176</v>
      </c>
    </row>
    <row r="2" spans="1:14" ht="18.75" x14ac:dyDescent="0.25">
      <c r="A2" s="121"/>
      <c r="B2" s="121"/>
      <c r="C2" s="121"/>
      <c r="D2" s="121"/>
      <c r="E2" s="121"/>
      <c r="F2" s="121"/>
      <c r="G2" s="121"/>
      <c r="H2" s="121"/>
      <c r="I2" s="121"/>
      <c r="J2" s="121"/>
      <c r="K2" s="121"/>
      <c r="L2" s="121"/>
    </row>
    <row r="3" spans="1:14" ht="18.75" x14ac:dyDescent="0.25">
      <c r="A3" s="121"/>
      <c r="B3" s="121"/>
      <c r="C3" s="121"/>
      <c r="D3" s="121"/>
      <c r="E3" s="121"/>
      <c r="F3" s="121"/>
      <c r="G3" s="121"/>
      <c r="H3" s="121"/>
      <c r="I3" s="121"/>
      <c r="J3" s="121"/>
      <c r="K3" s="121"/>
      <c r="L3" s="121"/>
    </row>
    <row r="4" spans="1:14" ht="18.75" x14ac:dyDescent="0.25">
      <c r="A4" s="121"/>
      <c r="B4" s="121"/>
      <c r="C4" s="121"/>
      <c r="D4" s="121"/>
      <c r="E4" s="121"/>
      <c r="F4" s="121"/>
      <c r="G4" s="121"/>
      <c r="H4" s="121"/>
      <c r="I4" s="121"/>
      <c r="J4" s="121"/>
      <c r="K4" s="121"/>
      <c r="L4" s="121"/>
    </row>
    <row r="5" spans="1:14" ht="18.75" x14ac:dyDescent="0.25">
      <c r="A5" s="121"/>
      <c r="B5" s="121"/>
      <c r="C5" s="121"/>
      <c r="D5" s="121"/>
      <c r="E5" s="121"/>
      <c r="F5" s="121"/>
      <c r="G5" s="121"/>
      <c r="H5" s="121"/>
      <c r="I5" s="121"/>
      <c r="J5" s="121"/>
      <c r="K5" s="121"/>
      <c r="L5" s="121"/>
    </row>
    <row r="6" spans="1:14" ht="18.75" x14ac:dyDescent="0.25">
      <c r="A6" s="121"/>
      <c r="B6" s="121"/>
      <c r="C6" s="121"/>
      <c r="D6" s="121"/>
      <c r="E6" s="121"/>
      <c r="F6" s="121"/>
      <c r="G6" s="121"/>
      <c r="H6" s="121"/>
      <c r="I6" s="121"/>
      <c r="J6" s="121"/>
      <c r="K6" s="121"/>
      <c r="L6" s="121"/>
    </row>
    <row r="7" spans="1:14" x14ac:dyDescent="0.25">
      <c r="A7" s="78"/>
      <c r="B7" s="78"/>
      <c r="C7" s="78"/>
      <c r="D7" s="78"/>
      <c r="E7" s="78"/>
      <c r="F7" s="78"/>
      <c r="G7" s="78"/>
      <c r="H7" s="78"/>
      <c r="I7" s="78"/>
      <c r="J7" s="78"/>
      <c r="K7" s="78"/>
      <c r="L7" s="78"/>
    </row>
    <row r="8" spans="1:14" x14ac:dyDescent="0.25">
      <c r="C8" s="74"/>
      <c r="D8" s="74"/>
      <c r="E8" s="74"/>
      <c r="F8" s="74"/>
      <c r="G8" s="74"/>
      <c r="H8" s="74"/>
      <c r="I8" s="74"/>
      <c r="J8" s="74"/>
      <c r="K8" s="74"/>
      <c r="L8" s="74"/>
      <c r="M8" s="74"/>
      <c r="N8" s="74"/>
    </row>
    <row r="9" spans="1:14" x14ac:dyDescent="0.25">
      <c r="C9" s="74"/>
      <c r="D9" s="74"/>
      <c r="E9" s="74"/>
      <c r="F9" s="74"/>
      <c r="G9" s="74"/>
      <c r="H9" s="74"/>
      <c r="I9" s="74"/>
      <c r="J9" s="74"/>
      <c r="K9" s="74"/>
      <c r="L9" s="74"/>
      <c r="M9" s="74"/>
      <c r="N9" s="74"/>
    </row>
    <row r="10" spans="1:14" x14ac:dyDescent="0.25">
      <c r="C10" s="74"/>
      <c r="D10" s="74"/>
      <c r="E10" s="74"/>
      <c r="F10" s="74"/>
      <c r="G10" s="74"/>
      <c r="H10" s="74"/>
      <c r="I10" s="74"/>
      <c r="J10" s="74"/>
      <c r="K10" s="74"/>
      <c r="L10" s="74"/>
      <c r="M10" s="74"/>
      <c r="N10" s="74"/>
    </row>
    <row r="11" spans="1:14" x14ac:dyDescent="0.25">
      <c r="C11" s="74"/>
      <c r="D11" s="74"/>
      <c r="E11" s="74"/>
      <c r="F11" s="74"/>
      <c r="G11" s="74"/>
      <c r="H11" s="74"/>
      <c r="I11" s="74"/>
      <c r="J11" s="74"/>
      <c r="K11" s="74"/>
      <c r="L11" s="74"/>
      <c r="M11" s="74"/>
      <c r="N11" s="74"/>
    </row>
    <row r="12" spans="1:14" x14ac:dyDescent="0.25">
      <c r="C12" s="74"/>
      <c r="D12" s="74"/>
      <c r="E12" s="74"/>
      <c r="F12" s="74"/>
      <c r="G12" s="74"/>
      <c r="H12" s="74"/>
      <c r="I12" s="74"/>
      <c r="J12" s="74"/>
      <c r="K12" s="74"/>
      <c r="L12" s="74"/>
      <c r="M12" s="74"/>
      <c r="N12" s="74"/>
    </row>
    <row r="13" spans="1:14" x14ac:dyDescent="0.25">
      <c r="C13" s="74"/>
      <c r="D13" s="74"/>
      <c r="E13" s="74"/>
      <c r="F13" s="74"/>
      <c r="G13" s="74"/>
      <c r="H13" s="74"/>
      <c r="I13" s="74"/>
      <c r="J13" s="74"/>
      <c r="K13" s="74"/>
      <c r="L13" s="74"/>
      <c r="M13" s="74"/>
      <c r="N13" s="74"/>
    </row>
    <row r="14" spans="1:14" x14ac:dyDescent="0.25">
      <c r="C14" s="74"/>
      <c r="D14" s="74"/>
      <c r="E14" s="74"/>
      <c r="F14" s="74"/>
      <c r="G14" s="74"/>
      <c r="H14" s="74"/>
      <c r="I14" s="74"/>
      <c r="J14" s="74"/>
      <c r="K14" s="74"/>
      <c r="L14" s="74"/>
      <c r="M14" s="74"/>
      <c r="N14" s="74"/>
    </row>
    <row r="15" spans="1:14" ht="19.5" thickBot="1" x14ac:dyDescent="0.35">
      <c r="B15" s="122" t="s">
        <v>173</v>
      </c>
      <c r="C15" s="123"/>
      <c r="D15" s="123"/>
      <c r="E15" s="123"/>
      <c r="F15" s="123"/>
      <c r="G15" s="123"/>
      <c r="H15" s="123"/>
      <c r="I15" s="123"/>
      <c r="J15" s="124"/>
    </row>
    <row r="16" spans="1:14" ht="18.75" x14ac:dyDescent="0.3">
      <c r="B16" s="125" t="s">
        <v>177</v>
      </c>
      <c r="C16" s="126" t="s">
        <v>209</v>
      </c>
      <c r="D16" s="127"/>
      <c r="E16" s="127"/>
      <c r="F16" s="127"/>
      <c r="G16" s="127"/>
      <c r="H16" s="127"/>
      <c r="I16" s="127"/>
      <c r="J16" s="128"/>
    </row>
    <row r="17" spans="1:12" ht="18.75" x14ac:dyDescent="0.3">
      <c r="B17" s="125" t="s">
        <v>178</v>
      </c>
      <c r="C17" s="126" t="s">
        <v>210</v>
      </c>
      <c r="D17" s="127"/>
      <c r="E17" s="127"/>
      <c r="F17" s="127"/>
      <c r="G17" s="127"/>
      <c r="H17" s="127"/>
      <c r="I17" s="127"/>
      <c r="J17" s="128"/>
    </row>
    <row r="18" spans="1:12" ht="18.75" x14ac:dyDescent="0.3">
      <c r="B18" s="125" t="s">
        <v>208</v>
      </c>
      <c r="C18" s="126" t="s">
        <v>211</v>
      </c>
      <c r="D18" s="127"/>
      <c r="E18" s="127"/>
      <c r="F18" s="127"/>
      <c r="G18" s="127"/>
      <c r="H18" s="127"/>
      <c r="I18" s="127"/>
      <c r="J18" s="128"/>
    </row>
    <row r="19" spans="1:12" ht="18.75" x14ac:dyDescent="0.3">
      <c r="B19" s="125" t="s">
        <v>179</v>
      </c>
      <c r="C19" s="126" t="s">
        <v>213</v>
      </c>
      <c r="D19" s="127"/>
      <c r="E19" s="127"/>
      <c r="F19" s="127"/>
      <c r="G19" s="127"/>
      <c r="H19" s="127"/>
      <c r="I19" s="127"/>
      <c r="J19" s="128"/>
    </row>
    <row r="20" spans="1:12" ht="18.75" x14ac:dyDescent="0.3">
      <c r="B20" s="129" t="s">
        <v>180</v>
      </c>
      <c r="C20" s="131" t="s">
        <v>212</v>
      </c>
      <c r="D20" s="131"/>
      <c r="E20" s="131"/>
      <c r="F20" s="130"/>
      <c r="G20" s="130"/>
      <c r="H20" s="130"/>
      <c r="I20" s="130"/>
      <c r="J20" s="132"/>
    </row>
    <row r="21" spans="1:12" ht="18.75" x14ac:dyDescent="0.3">
      <c r="B21" s="118"/>
      <c r="I21" s="75"/>
    </row>
    <row r="22" spans="1:12" ht="15.75" thickBot="1" x14ac:dyDescent="0.3">
      <c r="B22" s="76" t="s">
        <v>186</v>
      </c>
    </row>
    <row r="23" spans="1:12" x14ac:dyDescent="0.25">
      <c r="B23" t="s">
        <v>183</v>
      </c>
    </row>
    <row r="24" spans="1:12" x14ac:dyDescent="0.25">
      <c r="B24" t="s">
        <v>174</v>
      </c>
    </row>
    <row r="25" spans="1:12" x14ac:dyDescent="0.25">
      <c r="B25" t="s">
        <v>175</v>
      </c>
    </row>
    <row r="26" spans="1:12" ht="15.75" x14ac:dyDescent="0.25">
      <c r="A26" s="39"/>
      <c r="B26" s="75" t="s">
        <v>184</v>
      </c>
    </row>
    <row r="27" spans="1:12" ht="15.75" x14ac:dyDescent="0.25">
      <c r="A27" s="39"/>
      <c r="B27" t="s">
        <v>185</v>
      </c>
    </row>
    <row r="28" spans="1:12" ht="15.75" x14ac:dyDescent="0.25">
      <c r="A28" s="39"/>
    </row>
    <row r="29" spans="1:12" ht="15.75" x14ac:dyDescent="0.25">
      <c r="A29" s="39"/>
    </row>
    <row r="30" spans="1:12" x14ac:dyDescent="0.25">
      <c r="A30" s="78"/>
      <c r="B30" s="78"/>
      <c r="C30" s="78"/>
      <c r="D30" s="78"/>
      <c r="E30" s="78"/>
      <c r="F30" s="78"/>
      <c r="G30" s="78"/>
      <c r="H30" s="78"/>
      <c r="I30" s="78"/>
      <c r="J30" s="78"/>
      <c r="K30" s="78"/>
      <c r="L30" s="78"/>
    </row>
    <row r="31" spans="1:12" x14ac:dyDescent="0.25">
      <c r="A31" s="78"/>
      <c r="B31" s="78"/>
      <c r="C31" s="78"/>
      <c r="D31" s="78"/>
      <c r="E31" s="78"/>
      <c r="F31" s="78"/>
      <c r="G31" s="78"/>
      <c r="H31" s="78"/>
      <c r="I31" s="78"/>
      <c r="J31" s="78"/>
      <c r="K31" s="78"/>
      <c r="L31" s="78"/>
    </row>
    <row r="32" spans="1:12" x14ac:dyDescent="0.25">
      <c r="A32" s="78"/>
      <c r="B32" s="78"/>
      <c r="C32" s="78"/>
      <c r="D32" s="78"/>
      <c r="E32" s="78"/>
      <c r="F32" s="78"/>
      <c r="G32" s="78"/>
      <c r="H32" s="78"/>
      <c r="I32" s="78"/>
      <c r="J32" s="78"/>
      <c r="K32" s="78"/>
      <c r="L32" s="78"/>
    </row>
    <row r="33" spans="1:12" x14ac:dyDescent="0.25">
      <c r="A33" s="78"/>
      <c r="B33" s="78"/>
      <c r="C33" s="78"/>
      <c r="D33" s="78"/>
      <c r="E33" s="78"/>
      <c r="F33" s="78"/>
      <c r="G33" s="78"/>
      <c r="H33" s="78"/>
      <c r="I33" s="78"/>
      <c r="J33" s="78"/>
      <c r="K33" s="78"/>
      <c r="L33" s="78"/>
    </row>
    <row r="34" spans="1:12" x14ac:dyDescent="0.25">
      <c r="A34" s="78"/>
      <c r="B34" s="78"/>
      <c r="C34" s="78"/>
      <c r="D34" s="78"/>
      <c r="E34" s="78"/>
      <c r="F34" s="78"/>
      <c r="G34" s="78"/>
      <c r="H34" s="78"/>
      <c r="I34" s="78"/>
      <c r="J34" s="78"/>
      <c r="K34" s="78"/>
      <c r="L34" s="78"/>
    </row>
    <row r="97" spans="27:27" x14ac:dyDescent="0.25">
      <c r="AA97" t="s">
        <v>187</v>
      </c>
    </row>
    <row r="98" spans="27:27" x14ac:dyDescent="0.25">
      <c r="AA98" t="s">
        <v>188</v>
      </c>
    </row>
  </sheetData>
  <hyperlinks>
    <hyperlink ref="B16" location="'Tractor + Implement'!C8" display="Tractor + Implement" xr:uid="{9A8078D9-232B-48B0-BF2C-9E499047D27A}"/>
    <hyperlink ref="B17" location="'Self-Propelled'!C8" display="Self-propelled equipment" xr:uid="{D4AF0EEF-6BF6-465D-9021-6A4B24F2896B}"/>
    <hyperlink ref="B19" location="Factors!L2" display="Factors" xr:uid="{F1B38587-C257-48FF-BA02-62096891EE00}"/>
    <hyperlink ref="B20" location="Definitions!A1" display="Definitions" xr:uid="{1FF5B61A-DE28-4779-9BFB-265D57C26AF3}"/>
    <hyperlink ref="B26" r:id="rId1" display="jeff.johnson@msstate.edu" xr:uid="{42AD5B95-885E-47E6-B713-D00E2F5438AD}"/>
    <hyperlink ref="B18" location="Implements!C8" display="Implements" xr:uid="{9B95FC69-FEE1-4CFA-A414-1FD6FF9EC9D2}"/>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D0834-DE65-4983-843E-D7F15125BD76}">
  <dimension ref="B1:J35"/>
  <sheetViews>
    <sheetView zoomScaleNormal="100" workbookViewId="0">
      <selection activeCell="C8" sqref="C8"/>
    </sheetView>
  </sheetViews>
  <sheetFormatPr defaultRowHeight="15" x14ac:dyDescent="0.25"/>
  <cols>
    <col min="1" max="1" width="9.140625" style="44"/>
    <col min="2" max="2" width="28.7109375" style="44" bestFit="1" customWidth="1"/>
    <col min="3" max="3" width="20.7109375" style="44" customWidth="1"/>
    <col min="4" max="4" width="20.5703125" style="44" customWidth="1"/>
    <col min="5" max="6" width="9.140625" style="44"/>
    <col min="7" max="7" width="5.7109375" style="44" customWidth="1"/>
    <col min="8" max="8" width="29.28515625" style="44" bestFit="1" customWidth="1"/>
    <col min="9" max="10" width="15.7109375" style="44" customWidth="1"/>
    <col min="11" max="16384" width="9.140625" style="44"/>
  </cols>
  <sheetData>
    <row r="1" spans="2:10" ht="15.75" x14ac:dyDescent="0.25">
      <c r="B1" s="38" t="s">
        <v>189</v>
      </c>
      <c r="G1" s="23"/>
      <c r="H1" s="23"/>
      <c r="I1" s="24"/>
      <c r="J1" s="24"/>
    </row>
    <row r="2" spans="2:10" ht="15.75" x14ac:dyDescent="0.25">
      <c r="B2" s="120" t="s">
        <v>204</v>
      </c>
      <c r="G2" s="23"/>
      <c r="H2" s="141" t="s">
        <v>220</v>
      </c>
      <c r="I2" s="24"/>
      <c r="J2" s="24"/>
    </row>
    <row r="3" spans="2:10" ht="15" customHeight="1" x14ac:dyDescent="0.25">
      <c r="B3" s="26" t="s">
        <v>203</v>
      </c>
      <c r="C3" s="68"/>
      <c r="D3" s="68"/>
      <c r="G3" s="23"/>
      <c r="H3" s="141" t="s">
        <v>221</v>
      </c>
      <c r="I3" s="24"/>
      <c r="J3" s="24"/>
    </row>
    <row r="4" spans="2:10" ht="15" customHeight="1" x14ac:dyDescent="0.25">
      <c r="B4" s="26" t="s">
        <v>205</v>
      </c>
      <c r="C4" s="70"/>
      <c r="D4" s="70"/>
      <c r="G4" s="23"/>
      <c r="H4" s="23"/>
      <c r="I4" s="24"/>
      <c r="J4" s="24"/>
    </row>
    <row r="5" spans="2:10" ht="15" customHeight="1" x14ac:dyDescent="0.25">
      <c r="B5" s="26" t="s">
        <v>207</v>
      </c>
      <c r="C5" s="70"/>
      <c r="D5" s="70"/>
      <c r="G5" s="23"/>
      <c r="H5" s="23"/>
      <c r="I5" s="24"/>
      <c r="J5" s="24"/>
    </row>
    <row r="6" spans="2:10" ht="15" customHeight="1" thickBot="1" x14ac:dyDescent="0.3">
      <c r="B6" s="42"/>
      <c r="C6" s="70"/>
      <c r="D6" s="70"/>
      <c r="G6" s="23"/>
      <c r="H6" s="23"/>
      <c r="I6" s="24"/>
      <c r="J6" s="24"/>
    </row>
    <row r="7" spans="2:10" ht="15" customHeight="1" x14ac:dyDescent="0.25">
      <c r="B7" s="39" t="s">
        <v>6</v>
      </c>
      <c r="C7" s="140" t="s">
        <v>218</v>
      </c>
      <c r="D7" s="140" t="s">
        <v>219</v>
      </c>
      <c r="G7" s="86" t="s">
        <v>150</v>
      </c>
      <c r="H7" s="108"/>
      <c r="I7" s="109"/>
      <c r="J7" s="88"/>
    </row>
    <row r="8" spans="2:10" ht="31.5" customHeight="1" x14ac:dyDescent="0.25">
      <c r="B8" s="66" t="s">
        <v>7</v>
      </c>
      <c r="C8" s="79" t="s">
        <v>167</v>
      </c>
      <c r="D8" s="79" t="s">
        <v>34</v>
      </c>
      <c r="G8" s="135"/>
      <c r="H8" s="136"/>
      <c r="I8" s="137" t="str">
        <f>'Tractor + Implement'!C8</f>
        <v>Tractor,190 hp, 4-wheel drive</v>
      </c>
      <c r="J8" s="138" t="str">
        <f>'Tractor + Implement'!D8</f>
        <v>Field Cultivator</v>
      </c>
    </row>
    <row r="9" spans="2:10" ht="15" customHeight="1" x14ac:dyDescent="0.25">
      <c r="B9" s="24" t="s">
        <v>96</v>
      </c>
      <c r="C9" s="80" t="s">
        <v>112</v>
      </c>
      <c r="D9" s="80" t="s">
        <v>115</v>
      </c>
      <c r="G9" s="89" t="s">
        <v>124</v>
      </c>
      <c r="H9" s="24"/>
      <c r="I9" s="25"/>
      <c r="J9" s="90"/>
    </row>
    <row r="10" spans="2:10" ht="15" customHeight="1" x14ac:dyDescent="0.25">
      <c r="B10" s="67" t="s">
        <v>93</v>
      </c>
      <c r="C10" s="80" t="s">
        <v>134</v>
      </c>
      <c r="D10" s="80" t="s">
        <v>34</v>
      </c>
      <c r="G10" s="91"/>
      <c r="H10" s="42" t="s">
        <v>8</v>
      </c>
      <c r="I10" s="29">
        <f>'Tractor + Implement'!C11</f>
        <v>200000</v>
      </c>
      <c r="J10" s="92">
        <f>'Tractor + Implement'!D11</f>
        <v>45000</v>
      </c>
    </row>
    <row r="11" spans="2:10" ht="15" customHeight="1" x14ac:dyDescent="0.25">
      <c r="B11" s="44" t="s">
        <v>8</v>
      </c>
      <c r="C11" s="81">
        <v>200000</v>
      </c>
      <c r="D11" s="81">
        <v>45000</v>
      </c>
      <c r="G11" s="91"/>
      <c r="H11" s="42" t="s">
        <v>9</v>
      </c>
      <c r="I11" s="29">
        <f>'Tractor + Implement'!C12</f>
        <v>189000</v>
      </c>
      <c r="J11" s="92">
        <f>'Tractor + Implement'!D12</f>
        <v>42900</v>
      </c>
    </row>
    <row r="12" spans="2:10" ht="15" customHeight="1" x14ac:dyDescent="0.25">
      <c r="B12" s="44" t="s">
        <v>9</v>
      </c>
      <c r="C12" s="81">
        <v>189000</v>
      </c>
      <c r="D12" s="81">
        <v>42900</v>
      </c>
      <c r="G12" s="91"/>
      <c r="H12" s="42" t="s">
        <v>137</v>
      </c>
      <c r="I12" s="30">
        <f>I10*C$27/100</f>
        <v>56000</v>
      </c>
      <c r="J12" s="93">
        <f>J10*D$27/100</f>
        <v>13500</v>
      </c>
    </row>
    <row r="13" spans="2:10" ht="15" customHeight="1" x14ac:dyDescent="0.25">
      <c r="B13" s="44" t="s">
        <v>128</v>
      </c>
      <c r="C13" s="82">
        <v>20</v>
      </c>
      <c r="D13" s="82">
        <v>10</v>
      </c>
      <c r="G13" s="91"/>
      <c r="H13" s="42" t="s">
        <v>10</v>
      </c>
      <c r="I13" s="29">
        <f>'Tractor + Implement'!C13</f>
        <v>20</v>
      </c>
      <c r="J13" s="92">
        <f>'Tractor + Implement'!D13</f>
        <v>10</v>
      </c>
    </row>
    <row r="14" spans="2:10" ht="15" customHeight="1" x14ac:dyDescent="0.25">
      <c r="B14" s="44" t="s">
        <v>168</v>
      </c>
      <c r="C14" s="82">
        <v>190</v>
      </c>
      <c r="D14" s="84"/>
      <c r="G14" s="91"/>
      <c r="H14" s="42" t="s">
        <v>138</v>
      </c>
      <c r="I14" s="29">
        <f>C16</f>
        <v>400</v>
      </c>
      <c r="J14" s="92">
        <f>D16</f>
        <v>100</v>
      </c>
    </row>
    <row r="15" spans="2:10" ht="15" customHeight="1" x14ac:dyDescent="0.25">
      <c r="B15" s="44" t="s">
        <v>136</v>
      </c>
      <c r="C15" s="84"/>
      <c r="D15" s="82">
        <v>32</v>
      </c>
      <c r="G15" s="94"/>
      <c r="H15" s="35"/>
      <c r="I15" s="36"/>
      <c r="J15" s="95"/>
    </row>
    <row r="16" spans="2:10" ht="15" customHeight="1" x14ac:dyDescent="0.25">
      <c r="B16" s="44" t="s">
        <v>216</v>
      </c>
      <c r="C16" s="82">
        <v>400</v>
      </c>
      <c r="D16" s="82">
        <v>100</v>
      </c>
      <c r="G16" s="89" t="s">
        <v>125</v>
      </c>
      <c r="H16" s="24"/>
      <c r="I16" s="29"/>
      <c r="J16" s="92"/>
    </row>
    <row r="17" spans="2:10" ht="15" customHeight="1" x14ac:dyDescent="0.25">
      <c r="B17" s="44" t="s">
        <v>119</v>
      </c>
      <c r="C17" s="82">
        <v>5</v>
      </c>
      <c r="D17" s="82">
        <v>5</v>
      </c>
      <c r="G17" s="91"/>
      <c r="H17" s="26" t="s">
        <v>0</v>
      </c>
      <c r="I17" s="30">
        <f>(I11-I12)/I13</f>
        <v>6650</v>
      </c>
      <c r="J17" s="93">
        <f>(J11-J12)/J13</f>
        <v>2940</v>
      </c>
    </row>
    <row r="18" spans="2:10" ht="15" customHeight="1" x14ac:dyDescent="0.25">
      <c r="C18" s="85"/>
      <c r="D18" s="85"/>
      <c r="G18" s="91"/>
      <c r="H18" s="26" t="s">
        <v>1</v>
      </c>
      <c r="I18" s="30">
        <f>((I11+I12)/2)*C17/100</f>
        <v>6125</v>
      </c>
      <c r="J18" s="93">
        <f>((J11+J12)/2)*D17/100</f>
        <v>1410</v>
      </c>
    </row>
    <row r="19" spans="2:10" ht="15" customHeight="1" x14ac:dyDescent="0.25">
      <c r="B19" s="44" t="s">
        <v>117</v>
      </c>
      <c r="C19" s="83">
        <v>1.5</v>
      </c>
      <c r="D19" s="85" t="s">
        <v>22</v>
      </c>
      <c r="G19" s="91"/>
      <c r="H19" s="26" t="s">
        <v>122</v>
      </c>
      <c r="I19" s="31">
        <f>((I11+I12)/2)*0.015</f>
        <v>1837.5</v>
      </c>
      <c r="J19" s="96">
        <f>((J11+J12)/2)*0.015</f>
        <v>423</v>
      </c>
    </row>
    <row r="20" spans="2:10" ht="15" customHeight="1" x14ac:dyDescent="0.25">
      <c r="B20" s="44" t="s">
        <v>118</v>
      </c>
      <c r="C20" s="83">
        <v>15</v>
      </c>
      <c r="D20" s="85" t="s">
        <v>23</v>
      </c>
      <c r="G20" s="91"/>
      <c r="H20" s="26" t="s">
        <v>2</v>
      </c>
      <c r="I20" s="30">
        <f>SUM(I17:I19)</f>
        <v>14612.5</v>
      </c>
      <c r="J20" s="93">
        <f>SUM(J17:J19)</f>
        <v>4773</v>
      </c>
    </row>
    <row r="21" spans="2:10" x14ac:dyDescent="0.25">
      <c r="G21" s="91"/>
      <c r="H21" s="24"/>
      <c r="I21" s="110"/>
      <c r="J21" s="97"/>
    </row>
    <row r="22" spans="2:10" x14ac:dyDescent="0.25">
      <c r="G22" s="89" t="s">
        <v>126</v>
      </c>
      <c r="H22" s="24"/>
      <c r="I22" s="32"/>
      <c r="J22" s="98"/>
    </row>
    <row r="23" spans="2:10" x14ac:dyDescent="0.25">
      <c r="G23" s="91"/>
      <c r="H23" s="26" t="s">
        <v>121</v>
      </c>
      <c r="I23" s="30">
        <f>(C28/100)*I10*I14/100</f>
        <v>3839.9999999999995</v>
      </c>
      <c r="J23" s="93">
        <f>(D28/100)*J10*J14/100</f>
        <v>1602</v>
      </c>
    </row>
    <row r="24" spans="2:10" x14ac:dyDescent="0.25">
      <c r="B24" s="1" t="s">
        <v>11</v>
      </c>
      <c r="C24" s="69"/>
      <c r="D24" s="69"/>
      <c r="G24" s="91"/>
      <c r="H24" s="42" t="s">
        <v>120</v>
      </c>
      <c r="I24" s="33">
        <f>'Tractor + Implement'!C14*C31*'Tractor + Implement'!I14*'Tractor + Implement'!C19</f>
        <v>5016</v>
      </c>
      <c r="J24" s="99"/>
    </row>
    <row r="25" spans="2:10" x14ac:dyDescent="0.25">
      <c r="B25" s="44" t="s">
        <v>102</v>
      </c>
      <c r="D25" s="44">
        <f>VLOOKUP('Tractor + Implement'!D$10,Table2[[#All],[Equipment type]:[RF2]],3)</f>
        <v>85</v>
      </c>
      <c r="G25" s="91"/>
      <c r="H25" s="26" t="s">
        <v>12</v>
      </c>
      <c r="I25" s="30">
        <f>I24*C32</f>
        <v>752.4</v>
      </c>
      <c r="J25" s="93"/>
    </row>
    <row r="26" spans="2:10" x14ac:dyDescent="0.25">
      <c r="B26" s="44" t="s">
        <v>103</v>
      </c>
      <c r="D26" s="44">
        <f>VLOOKUP('Tractor + Implement'!D$10,Table2[[#All],[Equipment type]:[RF2]],5)</f>
        <v>7</v>
      </c>
      <c r="G26" s="91"/>
      <c r="H26" s="26" t="s">
        <v>123</v>
      </c>
      <c r="I26" s="31">
        <f>I14*C33*'Tractor + Implement'!C20</f>
        <v>7200</v>
      </c>
      <c r="J26" s="96"/>
    </row>
    <row r="27" spans="2:10" x14ac:dyDescent="0.25">
      <c r="B27" s="44" t="s">
        <v>111</v>
      </c>
      <c r="C27" s="44">
        <f>IF(C13&gt;12,(HLOOKUP('Tractor + Implement'!C$9,Table8[#All],12+1)),(HLOOKUP('Tractor + Implement'!C$9,Table8[#All],'Tractor + Implement'!C$13+1)))</f>
        <v>28</v>
      </c>
      <c r="D27" s="44">
        <f>IF(D13&gt;12,(HLOOKUP('Tractor + Implement'!D$9,Table8[#All],12+1)),(HLOOKUP('Tractor + Implement'!D$9,Table8[#All],'Tractor + Implement'!D$13+1)))</f>
        <v>30</v>
      </c>
      <c r="G27" s="91"/>
      <c r="H27" s="26" t="s">
        <v>4</v>
      </c>
      <c r="I27" s="30">
        <f>SUM(I23:I26)</f>
        <v>16808.400000000001</v>
      </c>
      <c r="J27" s="93">
        <f>SUM(J23:J26)</f>
        <v>1602</v>
      </c>
    </row>
    <row r="28" spans="2:10" x14ac:dyDescent="0.25">
      <c r="B28" s="44" t="s">
        <v>130</v>
      </c>
      <c r="C28" s="44">
        <f>VLOOKUP('Tractor + Implement'!C$10,Table2[[#All],[Equipment type]:[ARF]],10)</f>
        <v>0.48</v>
      </c>
      <c r="D28" s="44">
        <f>VLOOKUP('Tractor + Implement'!D$10,Table2[[#All],[Equipment type]:[ARF]],10)</f>
        <v>3.56</v>
      </c>
      <c r="G28" s="91"/>
      <c r="H28" s="28" t="s">
        <v>139</v>
      </c>
      <c r="I28" s="110">
        <f>I20+I27</f>
        <v>31420.9</v>
      </c>
      <c r="J28" s="97">
        <f>J20+J27</f>
        <v>6375</v>
      </c>
    </row>
    <row r="29" spans="2:10" x14ac:dyDescent="0.25">
      <c r="B29" s="44" t="s">
        <v>104</v>
      </c>
      <c r="C29" s="64"/>
      <c r="D29" s="64">
        <f>D25/100*D26*'Tractor + Implement'!D$15/8.25</f>
        <v>23.078787878787878</v>
      </c>
      <c r="G29" s="94"/>
      <c r="H29" s="35"/>
      <c r="I29" s="36"/>
      <c r="J29" s="95"/>
    </row>
    <row r="30" spans="2:10" x14ac:dyDescent="0.25">
      <c r="G30" s="100" t="s">
        <v>140</v>
      </c>
      <c r="H30" s="24"/>
      <c r="I30" s="110"/>
      <c r="J30" s="97"/>
    </row>
    <row r="31" spans="2:10" x14ac:dyDescent="0.25">
      <c r="B31" s="44" t="s">
        <v>21</v>
      </c>
      <c r="C31" s="44">
        <v>4.3999999999999997E-2</v>
      </c>
      <c r="D31" s="44" t="s">
        <v>217</v>
      </c>
      <c r="G31" s="91"/>
      <c r="H31" s="26" t="s">
        <v>3</v>
      </c>
      <c r="I31" s="34">
        <f>I20/I14</f>
        <v>36.53125</v>
      </c>
      <c r="J31" s="101">
        <f>J20/J14</f>
        <v>47.73</v>
      </c>
    </row>
    <row r="32" spans="2:10" x14ac:dyDescent="0.25">
      <c r="B32" s="44" t="s">
        <v>12</v>
      </c>
      <c r="C32" s="2">
        <v>0.15</v>
      </c>
      <c r="D32" s="44" t="s">
        <v>19</v>
      </c>
      <c r="G32" s="91"/>
      <c r="H32" s="26" t="s">
        <v>5</v>
      </c>
      <c r="I32" s="34">
        <f>I27/I14</f>
        <v>42.021000000000001</v>
      </c>
      <c r="J32" s="101">
        <f>J27/J14</f>
        <v>16.02</v>
      </c>
    </row>
    <row r="33" spans="2:10" x14ac:dyDescent="0.25">
      <c r="B33" s="44" t="s">
        <v>13</v>
      </c>
      <c r="C33" s="44">
        <v>1.2</v>
      </c>
      <c r="D33" s="44" t="s">
        <v>18</v>
      </c>
      <c r="G33" s="91"/>
      <c r="H33" s="103" t="s">
        <v>127</v>
      </c>
      <c r="I33" s="112">
        <f>I31+I32</f>
        <v>78.552250000000001</v>
      </c>
      <c r="J33" s="104">
        <f>J31+J32</f>
        <v>63.75</v>
      </c>
    </row>
    <row r="34" spans="2:10" ht="18.75" x14ac:dyDescent="0.25">
      <c r="B34" s="44" t="s">
        <v>16</v>
      </c>
      <c r="C34" s="3">
        <v>1.4999999999999999E-2</v>
      </c>
      <c r="D34" s="44" t="s">
        <v>17</v>
      </c>
      <c r="G34" s="91"/>
      <c r="H34" s="103" t="s">
        <v>14</v>
      </c>
      <c r="I34" s="113"/>
      <c r="J34" s="114">
        <f>$I$33+J33</f>
        <v>142.30225000000002</v>
      </c>
    </row>
    <row r="35" spans="2:10" ht="15.75" thickBot="1" x14ac:dyDescent="0.3">
      <c r="G35" s="111"/>
      <c r="H35" s="105" t="s">
        <v>15</v>
      </c>
      <c r="I35" s="115"/>
      <c r="J35" s="106">
        <f>J34/D29</f>
        <v>6.1659325761554626</v>
      </c>
    </row>
  </sheetData>
  <sheetProtection algorithmName="SHA-512" hashValue="0Q03Qei4y7JRwvaXhR8ZN9L1XAu4Ir88PdHKwcRTZv7PBM34ExspWTaqiKhe+NP0PBtky3+dnVVi8BOPLKmnpw==" saltValue="y0Xmf7M4DFMyiUQZqnNJRA==" spinCount="100000" sheet="1" objects="1" scenarios="1"/>
  <phoneticPr fontId="5"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errorTitle="Invalid entry" error="Please select equipment classification from list." promptTitle="Equipment Classification" prompt="Please select equipment classification from list." xr:uid="{012F55F0-DBF5-430C-904D-1F5BBCCA7B7E}">
          <x14:formula1>
            <xm:f>Factors!$C$4:$C$5</xm:f>
          </x14:formula1>
          <xm:sqref>C9</xm:sqref>
        </x14:dataValidation>
        <x14:dataValidation type="list" showInputMessage="1" showErrorMessage="1" errorTitle="Invalid entry" error="Please select equipment classification from list." promptTitle="Equipment Classification" prompt="Please select equipment classification from list." xr:uid="{28DBCC81-F946-497C-8741-73CA0F514118}">
          <x14:formula1>
            <xm:f>Factors!$E$4:$E$8</xm:f>
          </x14:formula1>
          <xm:sqref>D9</xm:sqref>
        </x14:dataValidation>
        <x14:dataValidation type="list" showInputMessage="1" showErrorMessage="1" errorTitle="Invalid entry" error="Please select equipment type from list." promptTitle="Equipment Type" prompt="Please select equipment type from list." xr:uid="{A043AE36-6E54-4DF3-8B0A-758E663B58F4}">
          <x14:formula1>
            <xm:f>OFFSET(Factors!$I$3,MATCH(C9,Factors!$I:$I,0)-3,1,COUNTIF(Factors!$I:$I,C9),1)</xm:f>
          </x14:formula1>
          <xm:sqref>C10:D10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97D5-4D80-4E58-9778-4E18F5687F21}">
  <dimension ref="B1:I35"/>
  <sheetViews>
    <sheetView zoomScaleNormal="100" workbookViewId="0">
      <selection activeCell="C8" sqref="C8"/>
    </sheetView>
  </sheetViews>
  <sheetFormatPr defaultRowHeight="15" x14ac:dyDescent="0.25"/>
  <cols>
    <col min="1" max="1" width="9.140625" style="44"/>
    <col min="2" max="2" width="28.7109375" style="44" customWidth="1"/>
    <col min="3" max="3" width="21" style="44" bestFit="1" customWidth="1"/>
    <col min="4" max="6" width="9.140625" style="44"/>
    <col min="7" max="7" width="5.7109375" style="44" customWidth="1"/>
    <col min="8" max="8" width="29.28515625" style="44" bestFit="1" customWidth="1"/>
    <col min="9" max="9" width="15.7109375" style="44" customWidth="1"/>
    <col min="10" max="16384" width="9.140625" style="44"/>
  </cols>
  <sheetData>
    <row r="1" spans="2:9" ht="15.75" x14ac:dyDescent="0.25">
      <c r="B1" s="38" t="s">
        <v>190</v>
      </c>
      <c r="H1" s="23"/>
      <c r="I1" s="24"/>
    </row>
    <row r="2" spans="2:9" ht="15" customHeight="1" x14ac:dyDescent="0.25">
      <c r="B2" s="120" t="s">
        <v>204</v>
      </c>
      <c r="E2" s="70"/>
      <c r="H2" s="23"/>
      <c r="I2" s="24"/>
    </row>
    <row r="3" spans="2:9" ht="15" customHeight="1" x14ac:dyDescent="0.25">
      <c r="B3" s="26" t="s">
        <v>203</v>
      </c>
      <c r="C3" s="68"/>
      <c r="D3" s="68"/>
      <c r="E3" s="68"/>
      <c r="F3" s="23"/>
      <c r="G3" s="24"/>
    </row>
    <row r="4" spans="2:9" ht="15" customHeight="1" x14ac:dyDescent="0.25">
      <c r="B4" s="26" t="s">
        <v>205</v>
      </c>
      <c r="C4" s="70"/>
      <c r="D4" s="70"/>
      <c r="E4" s="70"/>
      <c r="H4" s="23"/>
      <c r="I4" s="24"/>
    </row>
    <row r="5" spans="2:9" ht="15" customHeight="1" x14ac:dyDescent="0.25">
      <c r="B5" s="26" t="s">
        <v>207</v>
      </c>
      <c r="C5" s="70"/>
      <c r="D5" s="70"/>
      <c r="E5" s="70"/>
      <c r="H5" s="23"/>
      <c r="I5" s="24"/>
    </row>
    <row r="6" spans="2:9" ht="15" customHeight="1" thickBot="1" x14ac:dyDescent="0.3">
      <c r="B6" s="42"/>
      <c r="C6" s="70"/>
      <c r="D6" s="70"/>
      <c r="E6" s="70"/>
      <c r="H6" s="23"/>
      <c r="I6" s="24"/>
    </row>
    <row r="7" spans="2:9" ht="15" customHeight="1" x14ac:dyDescent="0.25">
      <c r="B7" s="39" t="s">
        <v>6</v>
      </c>
      <c r="G7" s="86" t="s">
        <v>150</v>
      </c>
      <c r="H7" s="87"/>
      <c r="I7" s="88"/>
    </row>
    <row r="8" spans="2:9" ht="36" customHeight="1" x14ac:dyDescent="0.25">
      <c r="B8" s="119" t="s">
        <v>7</v>
      </c>
      <c r="C8" s="79" t="s">
        <v>108</v>
      </c>
      <c r="G8" s="135"/>
      <c r="H8" s="136"/>
      <c r="I8" s="139" t="str">
        <f>'Self-Propelled'!C8</f>
        <v>Combine</v>
      </c>
    </row>
    <row r="9" spans="2:9" ht="15" customHeight="1" x14ac:dyDescent="0.25">
      <c r="B9" s="24" t="s">
        <v>96</v>
      </c>
      <c r="C9" s="80" t="s">
        <v>144</v>
      </c>
      <c r="G9" s="89" t="s">
        <v>124</v>
      </c>
      <c r="H9" s="24"/>
      <c r="I9" s="90"/>
    </row>
    <row r="10" spans="2:9" ht="15" customHeight="1" x14ac:dyDescent="0.25">
      <c r="B10" s="67" t="s">
        <v>93</v>
      </c>
      <c r="C10" s="80" t="s">
        <v>56</v>
      </c>
      <c r="G10" s="91"/>
      <c r="H10" s="42" t="s">
        <v>8</v>
      </c>
      <c r="I10" s="92">
        <f>'Self-Propelled'!C11</f>
        <v>500000</v>
      </c>
    </row>
    <row r="11" spans="2:9" ht="15" customHeight="1" x14ac:dyDescent="0.25">
      <c r="B11" s="44" t="s">
        <v>8</v>
      </c>
      <c r="C11" s="81">
        <v>500000</v>
      </c>
      <c r="G11" s="91"/>
      <c r="H11" s="42" t="s">
        <v>9</v>
      </c>
      <c r="I11" s="92">
        <f>'Self-Propelled'!C12</f>
        <v>480000</v>
      </c>
    </row>
    <row r="12" spans="2:9" ht="15" customHeight="1" x14ac:dyDescent="0.25">
      <c r="B12" s="44" t="s">
        <v>9</v>
      </c>
      <c r="C12" s="81">
        <v>480000</v>
      </c>
      <c r="G12" s="91"/>
      <c r="H12" s="42" t="s">
        <v>137</v>
      </c>
      <c r="I12" s="93">
        <f>I10*C$27/100</f>
        <v>110000</v>
      </c>
    </row>
    <row r="13" spans="2:9" ht="15" customHeight="1" x14ac:dyDescent="0.25">
      <c r="B13" s="44" t="s">
        <v>128</v>
      </c>
      <c r="C13" s="82">
        <v>10</v>
      </c>
      <c r="G13" s="91"/>
      <c r="H13" s="42" t="s">
        <v>10</v>
      </c>
      <c r="I13" s="92">
        <f>'Self-Propelled'!C13</f>
        <v>10</v>
      </c>
    </row>
    <row r="14" spans="2:9" ht="15" customHeight="1" x14ac:dyDescent="0.25">
      <c r="B14" s="44" t="s">
        <v>20</v>
      </c>
      <c r="C14" s="82">
        <v>475</v>
      </c>
      <c r="G14" s="91"/>
      <c r="H14" s="42" t="s">
        <v>138</v>
      </c>
      <c r="I14" s="92">
        <f>C16</f>
        <v>300</v>
      </c>
    </row>
    <row r="15" spans="2:9" ht="15" customHeight="1" x14ac:dyDescent="0.25">
      <c r="B15" s="44" t="s">
        <v>149</v>
      </c>
      <c r="C15" s="82">
        <v>38</v>
      </c>
      <c r="G15" s="94"/>
      <c r="H15" s="35"/>
      <c r="I15" s="95"/>
    </row>
    <row r="16" spans="2:9" ht="15" customHeight="1" x14ac:dyDescent="0.25">
      <c r="B16" s="44" t="s">
        <v>216</v>
      </c>
      <c r="C16" s="82">
        <v>300</v>
      </c>
      <c r="G16" s="89" t="s">
        <v>125</v>
      </c>
      <c r="H16" s="24"/>
      <c r="I16" s="92"/>
    </row>
    <row r="17" spans="2:9" ht="15" customHeight="1" x14ac:dyDescent="0.25">
      <c r="B17" s="44" t="s">
        <v>119</v>
      </c>
      <c r="C17" s="82">
        <v>5.25</v>
      </c>
      <c r="G17" s="91"/>
      <c r="H17" s="26" t="s">
        <v>0</v>
      </c>
      <c r="I17" s="93">
        <f>(I11-I12)/I13</f>
        <v>37000</v>
      </c>
    </row>
    <row r="18" spans="2:9" ht="15" customHeight="1" x14ac:dyDescent="0.25">
      <c r="C18" s="85"/>
      <c r="G18" s="91"/>
      <c r="H18" s="26" t="s">
        <v>1</v>
      </c>
      <c r="I18" s="93">
        <f>((I11+I12)/2)*C17/100</f>
        <v>15487.5</v>
      </c>
    </row>
    <row r="19" spans="2:9" ht="15" customHeight="1" x14ac:dyDescent="0.25">
      <c r="B19" s="44" t="s">
        <v>148</v>
      </c>
      <c r="C19" s="83">
        <v>1.5</v>
      </c>
      <c r="G19" s="91"/>
      <c r="H19" s="26" t="s">
        <v>122</v>
      </c>
      <c r="I19" s="96">
        <f>((I11+I12)/2)*0.015</f>
        <v>4425</v>
      </c>
    </row>
    <row r="20" spans="2:9" ht="15" customHeight="1" x14ac:dyDescent="0.25">
      <c r="B20" s="44" t="s">
        <v>147</v>
      </c>
      <c r="C20" s="83">
        <v>15</v>
      </c>
      <c r="G20" s="91"/>
      <c r="H20" s="26" t="s">
        <v>2</v>
      </c>
      <c r="I20" s="93">
        <f>SUM(I17:I19)</f>
        <v>56912.5</v>
      </c>
    </row>
    <row r="21" spans="2:9" x14ac:dyDescent="0.25">
      <c r="G21" s="91"/>
      <c r="H21" s="24"/>
      <c r="I21" s="97"/>
    </row>
    <row r="22" spans="2:9" x14ac:dyDescent="0.25">
      <c r="G22" s="89" t="s">
        <v>126</v>
      </c>
      <c r="H22" s="24"/>
      <c r="I22" s="98"/>
    </row>
    <row r="23" spans="2:9" x14ac:dyDescent="0.25">
      <c r="G23" s="91"/>
      <c r="H23" s="26" t="s">
        <v>121</v>
      </c>
      <c r="I23" s="93">
        <f>(C28/100)*I10*I14/100</f>
        <v>19950.000000000004</v>
      </c>
    </row>
    <row r="24" spans="2:9" x14ac:dyDescent="0.25">
      <c r="B24" s="1" t="s">
        <v>11</v>
      </c>
      <c r="G24" s="91"/>
      <c r="H24" s="42" t="s">
        <v>120</v>
      </c>
      <c r="I24" s="99">
        <f>'Self-Propelled'!C14*C31*'Self-Propelled'!I14*'Self-Propelled'!C19</f>
        <v>9405</v>
      </c>
    </row>
    <row r="25" spans="2:9" x14ac:dyDescent="0.25">
      <c r="B25" s="44" t="s">
        <v>102</v>
      </c>
      <c r="C25" s="44">
        <f>VLOOKUP('Self-Propelled'!C$10,Table2[[#All],[Equipment type]:[RF2]],3)</f>
        <v>70</v>
      </c>
      <c r="G25" s="91"/>
      <c r="H25" s="26" t="s">
        <v>12</v>
      </c>
      <c r="I25" s="93">
        <f>I24*C32</f>
        <v>1410.75</v>
      </c>
    </row>
    <row r="26" spans="2:9" x14ac:dyDescent="0.25">
      <c r="B26" s="44" t="s">
        <v>103</v>
      </c>
      <c r="C26" s="44">
        <f>VLOOKUP('Self-Propelled'!C$10,Table2[[#All],[Equipment type]:[RF2]],5)</f>
        <v>3</v>
      </c>
      <c r="G26" s="91"/>
      <c r="H26" s="26" t="s">
        <v>123</v>
      </c>
      <c r="I26" s="96">
        <f>I14*C33*'Self-Propelled'!C20</f>
        <v>5400</v>
      </c>
    </row>
    <row r="27" spans="2:9" x14ac:dyDescent="0.25">
      <c r="B27" s="44" t="s">
        <v>111</v>
      </c>
      <c r="C27" s="44">
        <f>IF(C13&gt;12,(HLOOKUP('Self-Propelled'!C$9,Table8[#All],12+1)),(HLOOKUP('Self-Propelled'!C$9,Table8[#All],'Self-Propelled'!C$13+1)))</f>
        <v>22</v>
      </c>
      <c r="G27" s="91"/>
      <c r="H27" s="26" t="s">
        <v>4</v>
      </c>
      <c r="I27" s="93">
        <f>SUM(I23:I26)</f>
        <v>36165.75</v>
      </c>
    </row>
    <row r="28" spans="2:9" x14ac:dyDescent="0.25">
      <c r="B28" s="44" t="s">
        <v>130</v>
      </c>
      <c r="C28" s="44">
        <f>VLOOKUP('Self-Propelled'!C$10,Table2[[#All],[Equipment type]:[ARF]],10)</f>
        <v>1.33</v>
      </c>
      <c r="G28" s="91"/>
      <c r="H28" s="28" t="s">
        <v>139</v>
      </c>
      <c r="I28" s="97">
        <f>I20+I27</f>
        <v>93078.25</v>
      </c>
    </row>
    <row r="29" spans="2:9" x14ac:dyDescent="0.25">
      <c r="B29" s="44" t="s">
        <v>104</v>
      </c>
      <c r="C29" s="64">
        <f>C25/100*C26*'Self-Propelled'!C$15/8.25</f>
        <v>9.6727272727272702</v>
      </c>
      <c r="G29" s="94"/>
      <c r="H29" s="35"/>
      <c r="I29" s="95"/>
    </row>
    <row r="30" spans="2:9" x14ac:dyDescent="0.25">
      <c r="G30" s="100" t="s">
        <v>140</v>
      </c>
      <c r="H30" s="24"/>
      <c r="I30" s="97"/>
    </row>
    <row r="31" spans="2:9" x14ac:dyDescent="0.25">
      <c r="B31" s="44" t="s">
        <v>21</v>
      </c>
      <c r="C31" s="44">
        <v>4.3999999999999997E-2</v>
      </c>
      <c r="D31" s="44" t="s">
        <v>217</v>
      </c>
      <c r="G31" s="91"/>
      <c r="H31" s="26" t="s">
        <v>3</v>
      </c>
      <c r="I31" s="101">
        <f>I20/I14</f>
        <v>189.70833333333334</v>
      </c>
    </row>
    <row r="32" spans="2:9" x14ac:dyDescent="0.25">
      <c r="B32" s="44" t="s">
        <v>12</v>
      </c>
      <c r="C32" s="2">
        <v>0.15</v>
      </c>
      <c r="D32" s="44" t="s">
        <v>19</v>
      </c>
      <c r="E32" s="64"/>
      <c r="G32" s="91"/>
      <c r="H32" s="26" t="s">
        <v>5</v>
      </c>
      <c r="I32" s="101">
        <f>I27/I14</f>
        <v>120.55249999999999</v>
      </c>
    </row>
    <row r="33" spans="2:9" x14ac:dyDescent="0.25">
      <c r="B33" s="44" t="s">
        <v>13</v>
      </c>
      <c r="C33" s="44">
        <v>1.2</v>
      </c>
      <c r="D33" s="44" t="s">
        <v>18</v>
      </c>
      <c r="G33" s="91"/>
      <c r="H33" s="103" t="s">
        <v>127</v>
      </c>
      <c r="I33" s="107">
        <f>I31+I32</f>
        <v>310.26083333333332</v>
      </c>
    </row>
    <row r="34" spans="2:9" ht="15.75" thickBot="1" x14ac:dyDescent="0.3">
      <c r="B34" s="44" t="s">
        <v>16</v>
      </c>
      <c r="C34" s="3">
        <v>1.4999999999999999E-2</v>
      </c>
      <c r="D34" s="44" t="s">
        <v>17</v>
      </c>
      <c r="G34" s="102"/>
      <c r="H34" s="105" t="s">
        <v>146</v>
      </c>
      <c r="I34" s="106">
        <f>I33/C29</f>
        <v>32.075838032581458</v>
      </c>
    </row>
    <row r="35" spans="2:9" x14ac:dyDescent="0.25">
      <c r="H35" s="26"/>
      <c r="I35" s="27"/>
    </row>
  </sheetData>
  <sheetProtection algorithmName="SHA-512" hashValue="kSGcXdHj88VoUy7WdqjArkK/a+iXCEzwV4T4Cu+ovX4ISGGAX8tv9izP06iiCZEcjRzGUON/H6WKfqNThoX9uw==" saltValue="5yOv0pUpg5D3GUypCCOSYA=="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equipment classification from list." promptTitle="Equipment Classification" prompt="Please select equipment classification from list." xr:uid="{64727864-2AF6-41B9-B9A1-001F0245AF5C}">
          <x14:formula1>
            <xm:f>Factors!$G$4:$G$5</xm:f>
          </x14:formula1>
          <xm:sqref>C9</xm:sqref>
        </x14:dataValidation>
        <x14:dataValidation type="list" showInputMessage="1" showErrorMessage="1" errorTitle="Invalid entry" error="Please select equipment type from list." promptTitle="Equipment Type" prompt="Please select equipment type from list." xr:uid="{1C6E6CA4-A214-4C5C-A736-AC0B5F8954F4}">
          <x14:formula1>
            <xm:f>OFFSET(Factors!$I$3,MATCH(C9,Factors!$I:$I,0)-3,1,COUNTIF(Factors!$I:$I,C9),1)</xm:f>
          </x14:formula1>
          <xm:sqref>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7143F-5733-4B76-9111-572FBD73C500}">
  <dimension ref="B1:I32"/>
  <sheetViews>
    <sheetView zoomScaleNormal="100" workbookViewId="0">
      <selection activeCell="C8" sqref="C8"/>
    </sheetView>
  </sheetViews>
  <sheetFormatPr defaultRowHeight="15" x14ac:dyDescent="0.25"/>
  <cols>
    <col min="1" max="1" width="9.140625" style="44"/>
    <col min="2" max="2" width="28.7109375" style="44" customWidth="1"/>
    <col min="3" max="3" width="21" style="44" bestFit="1" customWidth="1"/>
    <col min="4" max="6" width="9.140625" style="44"/>
    <col min="7" max="7" width="5.7109375" style="44" customWidth="1"/>
    <col min="8" max="8" width="29.28515625" style="44" bestFit="1" customWidth="1"/>
    <col min="9" max="9" width="15.7109375" style="44" customWidth="1"/>
    <col min="10" max="16384" width="9.140625" style="44"/>
  </cols>
  <sheetData>
    <row r="1" spans="2:9" ht="15.75" x14ac:dyDescent="0.25">
      <c r="B1" s="38" t="s">
        <v>201</v>
      </c>
      <c r="H1" s="23"/>
      <c r="I1" s="24"/>
    </row>
    <row r="2" spans="2:9" ht="15" customHeight="1" x14ac:dyDescent="0.25">
      <c r="B2" s="120" t="s">
        <v>204</v>
      </c>
      <c r="C2" s="68"/>
      <c r="D2" s="68"/>
      <c r="E2" s="70"/>
      <c r="H2" s="23"/>
      <c r="I2" s="24"/>
    </row>
    <row r="3" spans="2:9" ht="15" customHeight="1" x14ac:dyDescent="0.25">
      <c r="B3" s="26" t="s">
        <v>203</v>
      </c>
      <c r="C3" s="68"/>
      <c r="D3" s="68"/>
      <c r="E3" s="70"/>
      <c r="H3" s="23"/>
      <c r="I3" s="24"/>
    </row>
    <row r="4" spans="2:9" ht="15" customHeight="1" x14ac:dyDescent="0.25">
      <c r="B4" s="26" t="s">
        <v>205</v>
      </c>
      <c r="C4" s="68"/>
      <c r="D4" s="68"/>
      <c r="E4" s="70"/>
      <c r="H4" s="23"/>
      <c r="I4" s="24"/>
    </row>
    <row r="5" spans="2:9" ht="15" customHeight="1" x14ac:dyDescent="0.25">
      <c r="B5" s="26" t="s">
        <v>206</v>
      </c>
      <c r="C5" s="68"/>
      <c r="D5" s="68"/>
      <c r="E5" s="70"/>
      <c r="H5" s="23"/>
      <c r="I5" s="24"/>
    </row>
    <row r="6" spans="2:9" ht="15" customHeight="1" thickBot="1" x14ac:dyDescent="0.3">
      <c r="B6" s="42"/>
      <c r="C6" s="70"/>
      <c r="D6" s="70"/>
      <c r="E6" s="70"/>
      <c r="H6" s="23"/>
      <c r="I6" s="24"/>
    </row>
    <row r="7" spans="2:9" ht="15" customHeight="1" x14ac:dyDescent="0.25">
      <c r="B7" s="39" t="s">
        <v>6</v>
      </c>
      <c r="G7" s="86" t="s">
        <v>150</v>
      </c>
      <c r="H7" s="87"/>
      <c r="I7" s="88"/>
    </row>
    <row r="8" spans="2:9" ht="36.75" customHeight="1" x14ac:dyDescent="0.25">
      <c r="B8" s="119" t="s">
        <v>7</v>
      </c>
      <c r="C8" s="79" t="s">
        <v>202</v>
      </c>
      <c r="G8" s="135"/>
      <c r="H8" s="136"/>
      <c r="I8" s="139" t="str">
        <f>Implements!C8</f>
        <v>12 row Folding Planter</v>
      </c>
    </row>
    <row r="9" spans="2:9" ht="15" customHeight="1" x14ac:dyDescent="0.25">
      <c r="B9" s="24" t="s">
        <v>96</v>
      </c>
      <c r="C9" s="80" t="s">
        <v>114</v>
      </c>
      <c r="G9" s="89" t="s">
        <v>124</v>
      </c>
      <c r="H9" s="24"/>
      <c r="I9" s="90"/>
    </row>
    <row r="10" spans="2:9" ht="15" customHeight="1" x14ac:dyDescent="0.25">
      <c r="B10" s="67" t="s">
        <v>93</v>
      </c>
      <c r="C10" s="80" t="s">
        <v>47</v>
      </c>
      <c r="G10" s="91"/>
      <c r="H10" s="42" t="s">
        <v>8</v>
      </c>
      <c r="I10" s="92">
        <f>Implements!C11</f>
        <v>87000</v>
      </c>
    </row>
    <row r="11" spans="2:9" ht="15" customHeight="1" x14ac:dyDescent="0.25">
      <c r="B11" s="44" t="s">
        <v>8</v>
      </c>
      <c r="C11" s="81">
        <v>87000</v>
      </c>
      <c r="G11" s="91"/>
      <c r="H11" s="42" t="s">
        <v>9</v>
      </c>
      <c r="I11" s="92">
        <f>Implements!C12</f>
        <v>80200</v>
      </c>
    </row>
    <row r="12" spans="2:9" ht="15" customHeight="1" x14ac:dyDescent="0.25">
      <c r="B12" s="44" t="s">
        <v>9</v>
      </c>
      <c r="C12" s="81">
        <v>80200</v>
      </c>
      <c r="G12" s="91"/>
      <c r="H12" s="42" t="s">
        <v>137</v>
      </c>
      <c r="I12" s="93">
        <f>I10*C$24/100</f>
        <v>34800</v>
      </c>
    </row>
    <row r="13" spans="2:9" ht="15" customHeight="1" x14ac:dyDescent="0.25">
      <c r="B13" s="44" t="s">
        <v>128</v>
      </c>
      <c r="C13" s="82">
        <v>10</v>
      </c>
      <c r="G13" s="91"/>
      <c r="H13" s="42" t="s">
        <v>10</v>
      </c>
      <c r="I13" s="92">
        <f>Implements!C13</f>
        <v>10</v>
      </c>
    </row>
    <row r="14" spans="2:9" ht="15" customHeight="1" x14ac:dyDescent="0.25">
      <c r="B14" s="44" t="s">
        <v>149</v>
      </c>
      <c r="C14" s="82">
        <v>38</v>
      </c>
      <c r="G14" s="91"/>
      <c r="H14" s="42" t="s">
        <v>138</v>
      </c>
      <c r="I14" s="92">
        <f>C15</f>
        <v>100</v>
      </c>
    </row>
    <row r="15" spans="2:9" ht="15" customHeight="1" x14ac:dyDescent="0.25">
      <c r="B15" s="44" t="s">
        <v>216</v>
      </c>
      <c r="C15" s="82">
        <v>100</v>
      </c>
      <c r="G15" s="94"/>
      <c r="H15" s="35"/>
      <c r="I15" s="95"/>
    </row>
    <row r="16" spans="2:9" ht="15" customHeight="1" x14ac:dyDescent="0.25">
      <c r="B16" s="44" t="s">
        <v>119</v>
      </c>
      <c r="C16" s="82">
        <v>5.25</v>
      </c>
      <c r="G16" s="89" t="s">
        <v>125</v>
      </c>
      <c r="H16" s="24"/>
      <c r="I16" s="92"/>
    </row>
    <row r="17" spans="2:9" ht="15" customHeight="1" x14ac:dyDescent="0.25">
      <c r="C17" s="85"/>
      <c r="G17" s="91"/>
      <c r="H17" s="26" t="s">
        <v>0</v>
      </c>
      <c r="I17" s="93">
        <f>(I11-I12)/I13</f>
        <v>4540</v>
      </c>
    </row>
    <row r="18" spans="2:9" ht="15" customHeight="1" x14ac:dyDescent="0.25">
      <c r="G18" s="91"/>
      <c r="H18" s="26" t="s">
        <v>1</v>
      </c>
      <c r="I18" s="93">
        <f>((I11+I12)/2)*C16/100</f>
        <v>3018.75</v>
      </c>
    </row>
    <row r="19" spans="2:9" ht="15" customHeight="1" x14ac:dyDescent="0.25">
      <c r="G19" s="91"/>
      <c r="H19" s="26" t="s">
        <v>122</v>
      </c>
      <c r="I19" s="96">
        <f>((I11+I12)/2)*0.015</f>
        <v>862.5</v>
      </c>
    </row>
    <row r="20" spans="2:9" ht="15" customHeight="1" x14ac:dyDescent="0.25">
      <c r="G20" s="91"/>
      <c r="H20" s="26" t="s">
        <v>2</v>
      </c>
      <c r="I20" s="93">
        <f>SUM(I17:I19)</f>
        <v>8421.25</v>
      </c>
    </row>
    <row r="21" spans="2:9" x14ac:dyDescent="0.25">
      <c r="B21" s="1" t="s">
        <v>11</v>
      </c>
      <c r="G21" s="91"/>
      <c r="H21" s="24"/>
      <c r="I21" s="97"/>
    </row>
    <row r="22" spans="2:9" x14ac:dyDescent="0.25">
      <c r="B22" s="44" t="s">
        <v>102</v>
      </c>
      <c r="C22" s="44">
        <f>VLOOKUP(Implements!C$10,Table2[[#All],[Equipment type]:[RF2]],3)</f>
        <v>65</v>
      </c>
      <c r="G22" s="89" t="s">
        <v>126</v>
      </c>
      <c r="H22" s="24"/>
      <c r="I22" s="98"/>
    </row>
    <row r="23" spans="2:9" x14ac:dyDescent="0.25">
      <c r="B23" s="44" t="s">
        <v>103</v>
      </c>
      <c r="C23" s="44">
        <f>VLOOKUP(Implements!C$10,Table2[[#All],[Equipment type]:[RF2]],5)</f>
        <v>5.5</v>
      </c>
      <c r="G23" s="91"/>
      <c r="H23" s="26" t="s">
        <v>121</v>
      </c>
      <c r="I23" s="93">
        <f>(C25/100)*I10*I14/100</f>
        <v>4350</v>
      </c>
    </row>
    <row r="24" spans="2:9" x14ac:dyDescent="0.25">
      <c r="B24" s="44" t="s">
        <v>111</v>
      </c>
      <c r="C24" s="44">
        <f>IF(C13&gt;12,(HLOOKUP(Implements!C$9,Table8[#All],12+1)),(HLOOKUP(Implements!C$9,Table8[#All],Implements!C$13+1)))</f>
        <v>40</v>
      </c>
      <c r="G24" s="91"/>
      <c r="H24" s="26" t="s">
        <v>4</v>
      </c>
      <c r="I24" s="93">
        <f>SUM(I23:I23)</f>
        <v>4350</v>
      </c>
    </row>
    <row r="25" spans="2:9" x14ac:dyDescent="0.25">
      <c r="B25" s="44" t="s">
        <v>130</v>
      </c>
      <c r="C25" s="44">
        <f>VLOOKUP(Implements!C$10,Table2[[#All],[Equipment type]:[ARF]],10)</f>
        <v>5</v>
      </c>
      <c r="G25" s="91"/>
      <c r="H25" s="28" t="s">
        <v>139</v>
      </c>
      <c r="I25" s="97">
        <f>I20+I24</f>
        <v>12771.25</v>
      </c>
    </row>
    <row r="26" spans="2:9" x14ac:dyDescent="0.25">
      <c r="B26" s="44" t="s">
        <v>104</v>
      </c>
      <c r="C26" s="64">
        <f>C22/100*C23*Implements!C$14/8.25</f>
        <v>16.466666666666665</v>
      </c>
      <c r="G26" s="94"/>
      <c r="H26" s="35"/>
      <c r="I26" s="95"/>
    </row>
    <row r="27" spans="2:9" x14ac:dyDescent="0.25">
      <c r="G27" s="100" t="s">
        <v>140</v>
      </c>
      <c r="H27" s="24"/>
      <c r="I27" s="97"/>
    </row>
    <row r="28" spans="2:9" x14ac:dyDescent="0.25">
      <c r="B28" s="44" t="s">
        <v>16</v>
      </c>
      <c r="C28" s="3">
        <v>1.4999999999999999E-2</v>
      </c>
      <c r="D28" s="44" t="s">
        <v>17</v>
      </c>
      <c r="G28" s="91"/>
      <c r="H28" s="26" t="s">
        <v>3</v>
      </c>
      <c r="I28" s="101">
        <f>I20/I14</f>
        <v>84.212500000000006</v>
      </c>
    </row>
    <row r="29" spans="2:9" x14ac:dyDescent="0.25">
      <c r="G29" s="91"/>
      <c r="H29" s="26" t="s">
        <v>5</v>
      </c>
      <c r="I29" s="101">
        <f>I24/I14</f>
        <v>43.5</v>
      </c>
    </row>
    <row r="30" spans="2:9" x14ac:dyDescent="0.25">
      <c r="G30" s="91"/>
      <c r="H30" s="103" t="s">
        <v>127</v>
      </c>
      <c r="I30" s="107">
        <f>I28+I29</f>
        <v>127.71250000000001</v>
      </c>
    </row>
    <row r="31" spans="2:9" ht="15.75" thickBot="1" x14ac:dyDescent="0.3">
      <c r="G31" s="102"/>
      <c r="H31" s="105" t="s">
        <v>146</v>
      </c>
      <c r="I31" s="106">
        <f>I30/C26</f>
        <v>7.7558198380566816</v>
      </c>
    </row>
    <row r="32" spans="2:9" x14ac:dyDescent="0.25">
      <c r="E32" s="64"/>
      <c r="H32" s="26"/>
      <c r="I32" s="27"/>
    </row>
  </sheetData>
  <sheetProtection algorithmName="SHA-512" hashValue="3//g3hgLalTxGklbZRtIbEt73KZ2SW0IJVBN7TsXnEAqEDqANvcsWkRC9fENJW4ZmmZCmjFdLKIl28CZJZHGLQ==" saltValue="gID310jKE+FsOHwSG7o9NQ=="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equipment type from list." promptTitle="Equipment Type" prompt="Please select equipment type from list." xr:uid="{C2D938D0-DDFC-4A15-AA50-1CE7E70232A5}">
          <x14:formula1>
            <xm:f>OFFSET(Factors!$I$3,MATCH(C9,Factors!$I:$I,0)-3,1,COUNTIF(Factors!$I:$I,C9),1)</xm:f>
          </x14:formula1>
          <xm:sqref>C10</xm:sqref>
        </x14:dataValidation>
        <x14:dataValidation type="list" showInputMessage="1" showErrorMessage="1" errorTitle="Invalid entry" error="Please select equipment classification from list." promptTitle="Equipment Classification" prompt="Please select equipment classification from list." xr:uid="{2E9A3085-6B5C-44D8-8C32-CB62F75944EC}">
          <x14:formula1>
            <xm:f>Factors!$E$4:$E$8</xm:f>
          </x14:formula1>
          <xm:sqref>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4660-8458-4CF8-875C-51047D349140}">
  <sheetPr>
    <pageSetUpPr fitToPage="1"/>
  </sheetPr>
  <dimension ref="A2:AH63"/>
  <sheetViews>
    <sheetView topLeftCell="K1" workbookViewId="0">
      <selection activeCell="L2" sqref="L2"/>
    </sheetView>
  </sheetViews>
  <sheetFormatPr defaultRowHeight="15" x14ac:dyDescent="0.25"/>
  <cols>
    <col min="1" max="1" width="20.85546875" style="44" hidden="1" customWidth="1"/>
    <col min="2" max="2" width="5.7109375" style="44" hidden="1" customWidth="1"/>
    <col min="3" max="3" width="20.7109375" style="44" hidden="1" customWidth="1"/>
    <col min="4" max="4" width="5.7109375" style="44" hidden="1" customWidth="1"/>
    <col min="5" max="5" width="20.7109375" style="44" hidden="1" customWidth="1"/>
    <col min="6" max="6" width="5.7109375" style="44" hidden="1" customWidth="1"/>
    <col min="7" max="7" width="20.7109375" style="44" hidden="1" customWidth="1"/>
    <col min="8" max="8" width="0" style="44" hidden="1" customWidth="1"/>
    <col min="9" max="10" width="22.5703125" style="44" hidden="1" customWidth="1"/>
    <col min="11" max="11" width="9.140625" style="44"/>
    <col min="12" max="12" width="25" style="44" customWidth="1"/>
    <col min="13" max="13" width="22.28515625" style="44" customWidth="1"/>
    <col min="14" max="23" width="11.5703125" style="44" customWidth="1"/>
    <col min="24" max="24" width="24.28515625" style="44" customWidth="1"/>
    <col min="25" max="25" width="14.5703125" style="44" customWidth="1"/>
    <col min="26" max="27" width="13.28515625" style="44" customWidth="1"/>
    <col min="28" max="29" width="13.42578125" style="44" customWidth="1"/>
    <col min="30" max="30" width="12" style="44" customWidth="1"/>
    <col min="31" max="31" width="12.28515625" style="44" customWidth="1"/>
    <col min="32" max="32" width="13.140625" style="44" customWidth="1"/>
    <col min="33" max="34" width="10" style="44" customWidth="1"/>
    <col min="35" max="16384" width="9.140625" style="44"/>
  </cols>
  <sheetData>
    <row r="2" spans="1:34" ht="45.75" x14ac:dyDescent="0.3">
      <c r="A2" s="44" t="s">
        <v>151</v>
      </c>
      <c r="C2" s="44" t="s">
        <v>141</v>
      </c>
      <c r="E2" s="44" t="s">
        <v>142</v>
      </c>
      <c r="G2" s="44" t="s">
        <v>143</v>
      </c>
      <c r="I2" s="44" t="s">
        <v>152</v>
      </c>
      <c r="L2" s="134" t="s">
        <v>215</v>
      </c>
      <c r="N2" s="116" t="s">
        <v>191</v>
      </c>
      <c r="O2" s="116" t="s">
        <v>192</v>
      </c>
      <c r="P2" s="116" t="s">
        <v>193</v>
      </c>
      <c r="Q2" s="116" t="s">
        <v>194</v>
      </c>
      <c r="R2" s="116" t="s">
        <v>195</v>
      </c>
      <c r="S2" s="116" t="s">
        <v>200</v>
      </c>
      <c r="T2" s="116" t="s">
        <v>196</v>
      </c>
      <c r="U2" s="116" t="s">
        <v>197</v>
      </c>
      <c r="V2" s="116" t="s">
        <v>198</v>
      </c>
      <c r="W2" s="116" t="s">
        <v>199</v>
      </c>
      <c r="Y2" s="117" t="s">
        <v>110</v>
      </c>
    </row>
    <row r="3" spans="1:34" ht="28.5" customHeight="1" x14ac:dyDescent="0.25">
      <c r="A3" s="44" t="s">
        <v>97</v>
      </c>
      <c r="B3" s="1"/>
      <c r="C3" s="37" t="s">
        <v>97</v>
      </c>
      <c r="E3" s="37" t="s">
        <v>97</v>
      </c>
      <c r="G3" s="37" t="s">
        <v>97</v>
      </c>
      <c r="I3" s="9" t="s">
        <v>96</v>
      </c>
      <c r="J3" s="45" t="s">
        <v>93</v>
      </c>
      <c r="L3" s="46" t="s">
        <v>96</v>
      </c>
      <c r="M3" s="47" t="s">
        <v>93</v>
      </c>
      <c r="N3" s="48" t="s">
        <v>98</v>
      </c>
      <c r="O3" s="48" t="s">
        <v>99</v>
      </c>
      <c r="P3" s="48" t="s">
        <v>100</v>
      </c>
      <c r="Q3" s="48" t="s">
        <v>101</v>
      </c>
      <c r="R3" s="49" t="s">
        <v>24</v>
      </c>
      <c r="S3" s="50" t="s">
        <v>25</v>
      </c>
      <c r="T3" s="50" t="s">
        <v>91</v>
      </c>
      <c r="U3" s="50" t="s">
        <v>92</v>
      </c>
      <c r="V3" s="50" t="s">
        <v>131</v>
      </c>
      <c r="W3" s="50" t="s">
        <v>116</v>
      </c>
      <c r="Y3" s="18" t="s">
        <v>109</v>
      </c>
      <c r="Z3" s="20" t="s">
        <v>94</v>
      </c>
      <c r="AA3" s="20" t="s">
        <v>144</v>
      </c>
      <c r="AB3" s="21" t="s">
        <v>95</v>
      </c>
      <c r="AC3" s="21" t="s">
        <v>145</v>
      </c>
      <c r="AD3" s="22" t="s">
        <v>83</v>
      </c>
      <c r="AE3" s="22" t="s">
        <v>114</v>
      </c>
      <c r="AF3" s="22" t="s">
        <v>115</v>
      </c>
      <c r="AG3" s="133" t="s">
        <v>112</v>
      </c>
      <c r="AH3" s="19" t="s">
        <v>113</v>
      </c>
    </row>
    <row r="4" spans="1:34" x14ac:dyDescent="0.25">
      <c r="A4" s="6" t="s">
        <v>94</v>
      </c>
      <c r="C4" s="12" t="s">
        <v>112</v>
      </c>
      <c r="E4" s="11" t="s">
        <v>94</v>
      </c>
      <c r="G4" s="11" t="s">
        <v>144</v>
      </c>
      <c r="I4" s="7" t="s">
        <v>94</v>
      </c>
      <c r="J4" s="51" t="s">
        <v>51</v>
      </c>
      <c r="L4" s="8" t="s">
        <v>115</v>
      </c>
      <c r="M4" s="52" t="s">
        <v>32</v>
      </c>
      <c r="N4" s="48" t="s">
        <v>27</v>
      </c>
      <c r="O4" s="48">
        <v>85</v>
      </c>
      <c r="P4" s="48" t="s">
        <v>33</v>
      </c>
      <c r="Q4" s="53">
        <v>5</v>
      </c>
      <c r="R4" s="54">
        <v>2000</v>
      </c>
      <c r="S4" s="48">
        <v>75</v>
      </c>
      <c r="T4" s="55">
        <v>0.28000000000000003</v>
      </c>
      <c r="U4" s="53">
        <v>1.4</v>
      </c>
      <c r="V4" s="55">
        <v>3.7</v>
      </c>
      <c r="W4" s="48"/>
      <c r="Y4" s="15">
        <v>1</v>
      </c>
      <c r="Z4" s="15">
        <v>69</v>
      </c>
      <c r="AA4" s="15">
        <v>69</v>
      </c>
      <c r="AB4" s="15">
        <v>56</v>
      </c>
      <c r="AC4" s="15">
        <v>56</v>
      </c>
      <c r="AD4" s="15">
        <v>61</v>
      </c>
      <c r="AE4" s="15">
        <v>65</v>
      </c>
      <c r="AF4" s="14">
        <v>61</v>
      </c>
      <c r="AG4" s="15">
        <v>67</v>
      </c>
      <c r="AH4" s="14">
        <v>68</v>
      </c>
    </row>
    <row r="5" spans="1:34" x14ac:dyDescent="0.25">
      <c r="A5" s="6" t="s">
        <v>95</v>
      </c>
      <c r="C5" s="16" t="s">
        <v>113</v>
      </c>
      <c r="E5" s="12" t="s">
        <v>95</v>
      </c>
      <c r="G5" s="15" t="s">
        <v>145</v>
      </c>
      <c r="I5" s="8" t="s">
        <v>94</v>
      </c>
      <c r="J5" s="56" t="s">
        <v>79</v>
      </c>
      <c r="L5" s="44" t="s">
        <v>113</v>
      </c>
      <c r="M5" s="52" t="s">
        <v>133</v>
      </c>
      <c r="N5" s="57"/>
      <c r="O5" s="57"/>
      <c r="P5" s="57"/>
      <c r="Q5" s="57"/>
      <c r="R5" s="54">
        <v>12000</v>
      </c>
      <c r="S5" s="48">
        <v>100</v>
      </c>
      <c r="T5" s="50">
        <v>7.0000000000000001E-3</v>
      </c>
      <c r="U5" s="53">
        <v>2</v>
      </c>
      <c r="V5" s="55">
        <v>0.84</v>
      </c>
      <c r="W5" s="48"/>
      <c r="Y5" s="16">
        <v>2</v>
      </c>
      <c r="Z5" s="16">
        <v>58</v>
      </c>
      <c r="AA5" s="16">
        <v>58</v>
      </c>
      <c r="AB5" s="16">
        <v>50</v>
      </c>
      <c r="AC5" s="16">
        <v>50</v>
      </c>
      <c r="AD5" s="16">
        <v>54</v>
      </c>
      <c r="AE5" s="16">
        <v>60</v>
      </c>
      <c r="AF5" s="13">
        <v>54</v>
      </c>
      <c r="AG5" s="16">
        <v>59</v>
      </c>
      <c r="AH5" s="13">
        <v>62</v>
      </c>
    </row>
    <row r="6" spans="1:34" x14ac:dyDescent="0.25">
      <c r="A6" s="6" t="s">
        <v>83</v>
      </c>
      <c r="E6" s="11" t="s">
        <v>83</v>
      </c>
      <c r="I6" s="7" t="s">
        <v>94</v>
      </c>
      <c r="J6" s="51" t="s">
        <v>54</v>
      </c>
      <c r="L6" s="44" t="s">
        <v>112</v>
      </c>
      <c r="M6" s="52" t="s">
        <v>132</v>
      </c>
      <c r="N6" s="57"/>
      <c r="O6" s="57"/>
      <c r="P6" s="57"/>
      <c r="Q6" s="57"/>
      <c r="R6" s="54">
        <v>12000</v>
      </c>
      <c r="S6" s="48">
        <v>100</v>
      </c>
      <c r="T6" s="50">
        <v>7.0000000000000001E-3</v>
      </c>
      <c r="U6" s="53">
        <v>2</v>
      </c>
      <c r="V6" s="55">
        <v>1.1200000000000001</v>
      </c>
      <c r="W6" s="48"/>
      <c r="Y6" s="15">
        <v>3</v>
      </c>
      <c r="Z6" s="15">
        <v>50</v>
      </c>
      <c r="AA6" s="15">
        <v>50</v>
      </c>
      <c r="AB6" s="15">
        <v>46</v>
      </c>
      <c r="AC6" s="15">
        <v>46</v>
      </c>
      <c r="AD6" s="15">
        <v>49</v>
      </c>
      <c r="AE6" s="15">
        <v>56</v>
      </c>
      <c r="AF6" s="14">
        <v>49</v>
      </c>
      <c r="AG6" s="15">
        <v>54</v>
      </c>
      <c r="AH6" s="14">
        <v>57</v>
      </c>
    </row>
    <row r="7" spans="1:34" x14ac:dyDescent="0.25">
      <c r="A7" s="44" t="s">
        <v>114</v>
      </c>
      <c r="E7" s="12" t="s">
        <v>114</v>
      </c>
      <c r="I7" s="8" t="s">
        <v>94</v>
      </c>
      <c r="J7" s="56" t="s">
        <v>76</v>
      </c>
      <c r="L7" s="44" t="s">
        <v>113</v>
      </c>
      <c r="M7" s="52" t="s">
        <v>135</v>
      </c>
      <c r="N7" s="58"/>
      <c r="O7" s="58"/>
      <c r="P7" s="58"/>
      <c r="Q7" s="58"/>
      <c r="R7" s="54">
        <v>16000</v>
      </c>
      <c r="S7" s="48">
        <v>80</v>
      </c>
      <c r="T7" s="50">
        <v>3.0000000000000001E-3</v>
      </c>
      <c r="U7" s="53">
        <v>2</v>
      </c>
      <c r="V7" s="55">
        <v>0.48</v>
      </c>
      <c r="W7" s="48"/>
      <c r="Y7" s="16">
        <v>4</v>
      </c>
      <c r="Z7" s="16">
        <v>44</v>
      </c>
      <c r="AA7" s="16">
        <v>44</v>
      </c>
      <c r="AB7" s="16">
        <v>42</v>
      </c>
      <c r="AC7" s="16">
        <v>42</v>
      </c>
      <c r="AD7" s="16">
        <v>45</v>
      </c>
      <c r="AE7" s="16">
        <v>53</v>
      </c>
      <c r="AF7" s="13">
        <v>45</v>
      </c>
      <c r="AG7" s="16">
        <v>49</v>
      </c>
      <c r="AH7" s="13">
        <v>53</v>
      </c>
    </row>
    <row r="8" spans="1:34" x14ac:dyDescent="0.25">
      <c r="A8" s="44" t="s">
        <v>115</v>
      </c>
      <c r="E8" s="16" t="s">
        <v>115</v>
      </c>
      <c r="I8" s="8" t="s">
        <v>144</v>
      </c>
      <c r="J8" s="56" t="s">
        <v>56</v>
      </c>
      <c r="L8" s="44" t="s">
        <v>112</v>
      </c>
      <c r="M8" s="52" t="s">
        <v>134</v>
      </c>
      <c r="N8" s="58"/>
      <c r="O8" s="58"/>
      <c r="P8" s="58"/>
      <c r="Q8" s="58"/>
      <c r="R8" s="54">
        <v>16000</v>
      </c>
      <c r="S8" s="48">
        <v>80</v>
      </c>
      <c r="T8" s="50">
        <v>3.0000000000000001E-3</v>
      </c>
      <c r="U8" s="53">
        <v>2</v>
      </c>
      <c r="V8" s="55">
        <v>0.48</v>
      </c>
      <c r="W8" s="48"/>
      <c r="Y8" s="15">
        <v>5</v>
      </c>
      <c r="Z8" s="15">
        <v>39</v>
      </c>
      <c r="AA8" s="15">
        <v>39</v>
      </c>
      <c r="AB8" s="15">
        <v>39</v>
      </c>
      <c r="AC8" s="15">
        <v>39</v>
      </c>
      <c r="AD8" s="15">
        <v>42</v>
      </c>
      <c r="AE8" s="15">
        <v>50</v>
      </c>
      <c r="AF8" s="14">
        <v>42</v>
      </c>
      <c r="AG8" s="15">
        <v>45</v>
      </c>
      <c r="AH8" s="14">
        <v>49</v>
      </c>
    </row>
    <row r="9" spans="1:34" x14ac:dyDescent="0.25">
      <c r="A9" s="44" t="s">
        <v>113</v>
      </c>
      <c r="I9" s="7" t="s">
        <v>144</v>
      </c>
      <c r="J9" s="51" t="s">
        <v>82</v>
      </c>
      <c r="L9" s="6" t="s">
        <v>83</v>
      </c>
      <c r="M9" s="52" t="s">
        <v>89</v>
      </c>
      <c r="N9" s="48" t="s">
        <v>27</v>
      </c>
      <c r="O9" s="48">
        <v>80</v>
      </c>
      <c r="P9" s="48" t="s">
        <v>31</v>
      </c>
      <c r="Q9" s="53">
        <v>5</v>
      </c>
      <c r="R9" s="54">
        <v>2000</v>
      </c>
      <c r="S9" s="48">
        <v>60</v>
      </c>
      <c r="T9" s="55">
        <v>0.2</v>
      </c>
      <c r="U9" s="53">
        <v>1.6</v>
      </c>
      <c r="V9" s="55">
        <v>3.12</v>
      </c>
      <c r="W9" s="48" t="s">
        <v>129</v>
      </c>
      <c r="Y9" s="16">
        <v>6</v>
      </c>
      <c r="Z9" s="16">
        <v>35</v>
      </c>
      <c r="AA9" s="16">
        <v>35</v>
      </c>
      <c r="AB9" s="16">
        <v>37</v>
      </c>
      <c r="AC9" s="16">
        <v>37</v>
      </c>
      <c r="AD9" s="16">
        <v>39</v>
      </c>
      <c r="AE9" s="16">
        <v>48</v>
      </c>
      <c r="AF9" s="13">
        <v>39</v>
      </c>
      <c r="AG9" s="16">
        <v>42</v>
      </c>
      <c r="AH9" s="13">
        <v>46</v>
      </c>
    </row>
    <row r="10" spans="1:34" x14ac:dyDescent="0.25">
      <c r="A10" s="44" t="s">
        <v>112</v>
      </c>
      <c r="I10" s="7" t="s">
        <v>95</v>
      </c>
      <c r="J10" s="51" t="s">
        <v>72</v>
      </c>
      <c r="L10" s="6" t="s">
        <v>83</v>
      </c>
      <c r="M10" s="59" t="s">
        <v>90</v>
      </c>
      <c r="N10" s="60" t="s">
        <v>27</v>
      </c>
      <c r="O10" s="60">
        <v>80</v>
      </c>
      <c r="P10" s="60" t="s">
        <v>31</v>
      </c>
      <c r="Q10" s="61">
        <v>5</v>
      </c>
      <c r="R10" s="62">
        <v>1200</v>
      </c>
      <c r="S10" s="60">
        <v>35</v>
      </c>
      <c r="T10" s="63">
        <v>0.28000000000000003</v>
      </c>
      <c r="U10" s="61">
        <v>1.4</v>
      </c>
      <c r="V10" s="63">
        <v>1.33</v>
      </c>
      <c r="W10" s="48" t="s">
        <v>129</v>
      </c>
      <c r="Y10" s="15">
        <v>7</v>
      </c>
      <c r="Z10" s="15">
        <v>31</v>
      </c>
      <c r="AA10" s="15">
        <v>31</v>
      </c>
      <c r="AB10" s="15">
        <v>34</v>
      </c>
      <c r="AC10" s="15">
        <v>34</v>
      </c>
      <c r="AD10" s="15">
        <v>36</v>
      </c>
      <c r="AE10" s="15">
        <v>46</v>
      </c>
      <c r="AF10" s="14">
        <v>36</v>
      </c>
      <c r="AG10" s="15">
        <v>39</v>
      </c>
      <c r="AH10" s="14">
        <v>44</v>
      </c>
    </row>
    <row r="11" spans="1:34" x14ac:dyDescent="0.25">
      <c r="I11" s="7" t="s">
        <v>95</v>
      </c>
      <c r="J11" s="51" t="s">
        <v>169</v>
      </c>
      <c r="L11" s="6" t="s">
        <v>83</v>
      </c>
      <c r="M11" s="52" t="s">
        <v>87</v>
      </c>
      <c r="N11" s="48" t="s">
        <v>88</v>
      </c>
      <c r="O11" s="48">
        <v>65</v>
      </c>
      <c r="P11" s="48" t="s">
        <v>44</v>
      </c>
      <c r="Q11" s="53">
        <v>6.5</v>
      </c>
      <c r="R11" s="54">
        <v>1500</v>
      </c>
      <c r="S11" s="48">
        <v>70</v>
      </c>
      <c r="T11" s="55">
        <v>0.41</v>
      </c>
      <c r="U11" s="53">
        <v>1.3</v>
      </c>
      <c r="V11" s="55">
        <v>4.63</v>
      </c>
      <c r="W11" s="48"/>
      <c r="Y11" s="16">
        <v>8</v>
      </c>
      <c r="Z11" s="16">
        <v>28</v>
      </c>
      <c r="AA11" s="16">
        <v>28</v>
      </c>
      <c r="AB11" s="16">
        <v>32</v>
      </c>
      <c r="AC11" s="16">
        <v>32</v>
      </c>
      <c r="AD11" s="16">
        <v>34</v>
      </c>
      <c r="AE11" s="16">
        <v>44</v>
      </c>
      <c r="AF11" s="13">
        <v>34</v>
      </c>
      <c r="AG11" s="16">
        <v>36</v>
      </c>
      <c r="AH11" s="13">
        <v>41</v>
      </c>
    </row>
    <row r="12" spans="1:34" x14ac:dyDescent="0.25">
      <c r="C12" s="64"/>
      <c r="D12" s="64"/>
      <c r="I12" s="8" t="s">
        <v>95</v>
      </c>
      <c r="J12" s="56" t="s">
        <v>70</v>
      </c>
      <c r="L12" s="6" t="s">
        <v>94</v>
      </c>
      <c r="M12" s="52" t="s">
        <v>51</v>
      </c>
      <c r="N12" s="48" t="s">
        <v>52</v>
      </c>
      <c r="O12" s="48">
        <v>65</v>
      </c>
      <c r="P12" s="48" t="s">
        <v>53</v>
      </c>
      <c r="Q12" s="53">
        <v>2.5</v>
      </c>
      <c r="R12" s="54">
        <v>2000</v>
      </c>
      <c r="S12" s="48">
        <v>70</v>
      </c>
      <c r="T12" s="55">
        <v>0.14000000000000001</v>
      </c>
      <c r="U12" s="53">
        <v>2.2999999999999998</v>
      </c>
      <c r="V12" s="55">
        <v>1.33</v>
      </c>
      <c r="W12" s="48" t="s">
        <v>129</v>
      </c>
      <c r="Y12" s="15">
        <v>9</v>
      </c>
      <c r="Z12" s="15">
        <v>25</v>
      </c>
      <c r="AA12" s="15">
        <v>25</v>
      </c>
      <c r="AB12" s="15">
        <v>30</v>
      </c>
      <c r="AC12" s="15">
        <v>30</v>
      </c>
      <c r="AD12" s="15">
        <v>31</v>
      </c>
      <c r="AE12" s="15">
        <v>42</v>
      </c>
      <c r="AF12" s="14">
        <v>31</v>
      </c>
      <c r="AG12" s="15">
        <v>34</v>
      </c>
      <c r="AH12" s="14">
        <v>39</v>
      </c>
    </row>
    <row r="13" spans="1:34" x14ac:dyDescent="0.25">
      <c r="I13" s="7" t="s">
        <v>95</v>
      </c>
      <c r="J13" s="51" t="s">
        <v>58</v>
      </c>
      <c r="L13" s="6" t="s">
        <v>83</v>
      </c>
      <c r="M13" s="59" t="s">
        <v>84</v>
      </c>
      <c r="N13" s="60" t="s">
        <v>85</v>
      </c>
      <c r="O13" s="60">
        <v>70</v>
      </c>
      <c r="P13" s="60" t="s">
        <v>86</v>
      </c>
      <c r="Q13" s="61">
        <v>7</v>
      </c>
      <c r="R13" s="62">
        <v>1200</v>
      </c>
      <c r="S13" s="60">
        <v>80</v>
      </c>
      <c r="T13" s="63">
        <v>0.63</v>
      </c>
      <c r="U13" s="61">
        <v>1.3</v>
      </c>
      <c r="V13" s="63">
        <v>3.09</v>
      </c>
      <c r="W13" s="48"/>
      <c r="Y13" s="16">
        <v>10</v>
      </c>
      <c r="Z13" s="16">
        <v>22</v>
      </c>
      <c r="AA13" s="16">
        <v>22</v>
      </c>
      <c r="AB13" s="16">
        <v>28</v>
      </c>
      <c r="AC13" s="16">
        <v>28</v>
      </c>
      <c r="AD13" s="16">
        <v>30</v>
      </c>
      <c r="AE13" s="16">
        <v>40</v>
      </c>
      <c r="AF13" s="13">
        <v>30</v>
      </c>
      <c r="AG13" s="16">
        <v>32</v>
      </c>
      <c r="AH13" s="13">
        <v>37</v>
      </c>
    </row>
    <row r="14" spans="1:34" x14ac:dyDescent="0.25">
      <c r="I14" s="8" t="s">
        <v>95</v>
      </c>
      <c r="J14" s="56" t="s">
        <v>60</v>
      </c>
      <c r="L14" s="8" t="s">
        <v>115</v>
      </c>
      <c r="M14" s="52" t="s">
        <v>34</v>
      </c>
      <c r="N14" s="48" t="s">
        <v>27</v>
      </c>
      <c r="O14" s="48">
        <v>85</v>
      </c>
      <c r="P14" s="48" t="s">
        <v>35</v>
      </c>
      <c r="Q14" s="53">
        <v>7</v>
      </c>
      <c r="R14" s="54">
        <v>2000</v>
      </c>
      <c r="S14" s="48">
        <v>70</v>
      </c>
      <c r="T14" s="55">
        <v>0.27</v>
      </c>
      <c r="U14" s="53">
        <v>1.4</v>
      </c>
      <c r="V14" s="55">
        <v>3.56</v>
      </c>
      <c r="W14" s="48"/>
      <c r="Y14" s="15">
        <v>11</v>
      </c>
      <c r="Z14" s="15">
        <v>20</v>
      </c>
      <c r="AA14" s="15">
        <v>20</v>
      </c>
      <c r="AB14" s="15">
        <v>27</v>
      </c>
      <c r="AC14" s="15">
        <v>27</v>
      </c>
      <c r="AD14" s="15">
        <v>28</v>
      </c>
      <c r="AE14" s="15">
        <v>39</v>
      </c>
      <c r="AF14" s="14">
        <v>28</v>
      </c>
      <c r="AG14" s="15">
        <v>30</v>
      </c>
      <c r="AH14" s="14">
        <v>35</v>
      </c>
    </row>
    <row r="15" spans="1:34" x14ac:dyDescent="0.25">
      <c r="I15" s="7" t="s">
        <v>95</v>
      </c>
      <c r="J15" s="51" t="s">
        <v>63</v>
      </c>
      <c r="L15" s="6" t="s">
        <v>95</v>
      </c>
      <c r="M15" s="52" t="s">
        <v>72</v>
      </c>
      <c r="N15" s="48" t="s">
        <v>68</v>
      </c>
      <c r="O15" s="48">
        <v>70</v>
      </c>
      <c r="P15" s="48" t="s">
        <v>73</v>
      </c>
      <c r="Q15" s="53">
        <v>3</v>
      </c>
      <c r="R15" s="54">
        <v>2500</v>
      </c>
      <c r="S15" s="48">
        <v>65</v>
      </c>
      <c r="T15" s="55">
        <v>0.15</v>
      </c>
      <c r="U15" s="53">
        <v>1.6</v>
      </c>
      <c r="V15" s="55">
        <v>2.6</v>
      </c>
      <c r="W15" s="48"/>
      <c r="Y15" s="16">
        <v>12</v>
      </c>
      <c r="Z15" s="16">
        <v>18</v>
      </c>
      <c r="AA15" s="16">
        <v>18</v>
      </c>
      <c r="AB15" s="16">
        <v>25</v>
      </c>
      <c r="AC15" s="16">
        <v>25</v>
      </c>
      <c r="AD15" s="16">
        <v>26</v>
      </c>
      <c r="AE15" s="16">
        <v>38</v>
      </c>
      <c r="AF15" s="13">
        <v>26</v>
      </c>
      <c r="AG15" s="16">
        <v>28</v>
      </c>
      <c r="AH15" s="13">
        <v>34</v>
      </c>
    </row>
    <row r="16" spans="1:34" x14ac:dyDescent="0.25">
      <c r="I16" s="8" t="s">
        <v>95</v>
      </c>
      <c r="J16" s="56" t="s">
        <v>171</v>
      </c>
      <c r="L16" s="44" t="s">
        <v>114</v>
      </c>
      <c r="M16" s="52" t="s">
        <v>49</v>
      </c>
      <c r="N16" s="48" t="s">
        <v>50</v>
      </c>
      <c r="O16" s="48">
        <v>70</v>
      </c>
      <c r="P16" s="48" t="s">
        <v>31</v>
      </c>
      <c r="Q16" s="53">
        <v>5</v>
      </c>
      <c r="R16" s="54">
        <v>1500</v>
      </c>
      <c r="S16" s="48">
        <v>75</v>
      </c>
      <c r="T16" s="55">
        <v>0.32</v>
      </c>
      <c r="U16" s="53">
        <v>2.1</v>
      </c>
      <c r="V16" s="55">
        <v>5</v>
      </c>
      <c r="W16" s="48"/>
    </row>
    <row r="17" spans="3:25" x14ac:dyDescent="0.25">
      <c r="G17" s="6"/>
      <c r="I17" s="7" t="s">
        <v>95</v>
      </c>
      <c r="J17" s="51" t="s">
        <v>170</v>
      </c>
      <c r="L17" s="6" t="s">
        <v>115</v>
      </c>
      <c r="M17" s="52" t="s">
        <v>29</v>
      </c>
      <c r="N17" s="48" t="s">
        <v>27</v>
      </c>
      <c r="O17" s="48">
        <v>85</v>
      </c>
      <c r="P17" s="48" t="s">
        <v>28</v>
      </c>
      <c r="Q17" s="53">
        <v>4.5</v>
      </c>
      <c r="R17" s="54">
        <v>2000</v>
      </c>
      <c r="S17" s="48">
        <v>60</v>
      </c>
      <c r="T17" s="55">
        <v>0.18</v>
      </c>
      <c r="U17" s="53">
        <v>1.7</v>
      </c>
      <c r="V17" s="55">
        <v>2.92</v>
      </c>
      <c r="W17" s="48"/>
      <c r="Y17" s="10" t="s">
        <v>214</v>
      </c>
    </row>
    <row r="18" spans="3:25" x14ac:dyDescent="0.25">
      <c r="C18" s="2"/>
      <c r="I18" s="8" t="s">
        <v>95</v>
      </c>
      <c r="J18" s="56" t="s">
        <v>66</v>
      </c>
      <c r="L18" s="6" t="s">
        <v>95</v>
      </c>
      <c r="M18" s="59" t="s">
        <v>169</v>
      </c>
      <c r="N18" s="48" t="s">
        <v>27</v>
      </c>
      <c r="O18" s="48">
        <v>80</v>
      </c>
      <c r="P18" s="48" t="s">
        <v>67</v>
      </c>
      <c r="Q18" s="53">
        <v>5</v>
      </c>
      <c r="R18" s="54">
        <v>3000</v>
      </c>
      <c r="S18" s="48">
        <v>75</v>
      </c>
      <c r="T18" s="55">
        <v>0.1</v>
      </c>
      <c r="U18" s="53">
        <v>1.8</v>
      </c>
      <c r="V18" s="55">
        <v>1.74</v>
      </c>
      <c r="W18" s="48"/>
      <c r="Y18" s="10" t="s">
        <v>107</v>
      </c>
    </row>
    <row r="19" spans="3:25" x14ac:dyDescent="0.25">
      <c r="E19" s="65"/>
      <c r="I19" s="7" t="s">
        <v>145</v>
      </c>
      <c r="J19" s="51" t="s">
        <v>74</v>
      </c>
      <c r="L19" s="6" t="s">
        <v>95</v>
      </c>
      <c r="M19" s="51" t="s">
        <v>70</v>
      </c>
      <c r="N19" s="48" t="s">
        <v>71</v>
      </c>
      <c r="O19" s="48">
        <v>65</v>
      </c>
      <c r="P19" s="48" t="s">
        <v>65</v>
      </c>
      <c r="Q19" s="53">
        <v>5</v>
      </c>
      <c r="R19" s="54">
        <v>1500</v>
      </c>
      <c r="S19" s="48">
        <v>90</v>
      </c>
      <c r="T19" s="55">
        <v>0.43</v>
      </c>
      <c r="U19" s="53">
        <v>1.8</v>
      </c>
      <c r="V19" s="55">
        <v>5.95</v>
      </c>
      <c r="W19" s="48"/>
    </row>
    <row r="20" spans="3:25" x14ac:dyDescent="0.25">
      <c r="C20" s="3"/>
      <c r="I20" s="8" t="s">
        <v>145</v>
      </c>
      <c r="J20" s="56" t="s">
        <v>64</v>
      </c>
      <c r="L20" s="8" t="s">
        <v>115</v>
      </c>
      <c r="M20" s="52" t="s">
        <v>26</v>
      </c>
      <c r="N20" s="48" t="s">
        <v>27</v>
      </c>
      <c r="O20" s="48">
        <v>85</v>
      </c>
      <c r="P20" s="48" t="s">
        <v>28</v>
      </c>
      <c r="Q20" s="53">
        <v>4.5</v>
      </c>
      <c r="R20" s="54">
        <v>2000</v>
      </c>
      <c r="S20" s="48">
        <v>100</v>
      </c>
      <c r="T20" s="55">
        <v>0.28999999999999998</v>
      </c>
      <c r="U20" s="53">
        <v>1.8</v>
      </c>
      <c r="V20" s="55">
        <v>5.05</v>
      </c>
      <c r="W20" s="48"/>
    </row>
    <row r="21" spans="3:25" x14ac:dyDescent="0.25">
      <c r="I21" s="8" t="s">
        <v>83</v>
      </c>
      <c r="J21" s="56" t="s">
        <v>89</v>
      </c>
      <c r="L21" s="6" t="s">
        <v>95</v>
      </c>
      <c r="M21" s="51" t="s">
        <v>58</v>
      </c>
      <c r="N21" s="48" t="s">
        <v>59</v>
      </c>
      <c r="O21" s="48">
        <v>80</v>
      </c>
      <c r="P21" s="48" t="s">
        <v>28</v>
      </c>
      <c r="Q21" s="53">
        <v>5</v>
      </c>
      <c r="R21" s="54">
        <v>2000</v>
      </c>
      <c r="S21" s="48">
        <v>150</v>
      </c>
      <c r="T21" s="55">
        <v>0.46</v>
      </c>
      <c r="U21" s="53">
        <v>1.7</v>
      </c>
      <c r="V21" s="55">
        <v>7.47</v>
      </c>
      <c r="W21" s="48"/>
    </row>
    <row r="22" spans="3:25" x14ac:dyDescent="0.25">
      <c r="I22" s="7" t="s">
        <v>83</v>
      </c>
      <c r="J22" s="51" t="s">
        <v>90</v>
      </c>
      <c r="L22" s="6" t="s">
        <v>95</v>
      </c>
      <c r="M22" s="52" t="s">
        <v>60</v>
      </c>
      <c r="N22" s="48" t="s">
        <v>61</v>
      </c>
      <c r="O22" s="48">
        <v>80</v>
      </c>
      <c r="P22" s="48" t="s">
        <v>62</v>
      </c>
      <c r="Q22" s="53">
        <v>7</v>
      </c>
      <c r="R22" s="54">
        <v>2000</v>
      </c>
      <c r="S22" s="48">
        <v>175</v>
      </c>
      <c r="T22" s="55">
        <v>0.44</v>
      </c>
      <c r="U22" s="53">
        <v>2</v>
      </c>
      <c r="V22" s="55">
        <v>8.8000000000000007</v>
      </c>
      <c r="W22" s="48"/>
    </row>
    <row r="23" spans="3:25" x14ac:dyDescent="0.25">
      <c r="I23" s="8" t="s">
        <v>83</v>
      </c>
      <c r="J23" s="56" t="s">
        <v>87</v>
      </c>
      <c r="L23" s="6" t="s">
        <v>95</v>
      </c>
      <c r="M23" s="52" t="s">
        <v>63</v>
      </c>
      <c r="N23" s="48" t="s">
        <v>59</v>
      </c>
      <c r="O23" s="48">
        <v>80</v>
      </c>
      <c r="P23" s="48" t="s">
        <v>28</v>
      </c>
      <c r="Q23" s="53">
        <v>5</v>
      </c>
      <c r="R23" s="54">
        <v>2500</v>
      </c>
      <c r="S23" s="48">
        <v>80</v>
      </c>
      <c r="T23" s="55">
        <v>0.18</v>
      </c>
      <c r="U23" s="53">
        <v>1.6</v>
      </c>
      <c r="V23" s="55">
        <v>3.12</v>
      </c>
      <c r="W23" s="48" t="s">
        <v>129</v>
      </c>
    </row>
    <row r="24" spans="3:25" x14ac:dyDescent="0.25">
      <c r="I24" s="7" t="s">
        <v>83</v>
      </c>
      <c r="J24" s="51" t="s">
        <v>84</v>
      </c>
      <c r="L24" s="6" t="s">
        <v>95</v>
      </c>
      <c r="M24" s="71" t="s">
        <v>171</v>
      </c>
      <c r="N24" s="48" t="s">
        <v>61</v>
      </c>
      <c r="O24" s="48">
        <v>80</v>
      </c>
      <c r="P24" s="48" t="s">
        <v>62</v>
      </c>
      <c r="Q24" s="53">
        <v>7</v>
      </c>
      <c r="R24" s="54">
        <v>2500</v>
      </c>
      <c r="S24" s="48">
        <v>100</v>
      </c>
      <c r="T24" s="55">
        <v>0.16</v>
      </c>
      <c r="U24" s="53">
        <v>2</v>
      </c>
      <c r="V24" s="55">
        <v>8.8000000000000007</v>
      </c>
      <c r="W24" s="48"/>
    </row>
    <row r="25" spans="3:25" x14ac:dyDescent="0.25">
      <c r="I25" s="44" t="s">
        <v>114</v>
      </c>
      <c r="J25" s="56" t="s">
        <v>49</v>
      </c>
      <c r="L25" s="6" t="s">
        <v>115</v>
      </c>
      <c r="M25" s="52" t="s">
        <v>39</v>
      </c>
      <c r="N25" s="48" t="s">
        <v>27</v>
      </c>
      <c r="O25" s="48">
        <v>80</v>
      </c>
      <c r="P25" s="48" t="s">
        <v>31</v>
      </c>
      <c r="Q25" s="53">
        <v>5</v>
      </c>
      <c r="R25" s="54">
        <v>2000</v>
      </c>
      <c r="S25" s="48">
        <v>40</v>
      </c>
      <c r="T25" s="55">
        <v>0.16</v>
      </c>
      <c r="U25" s="53">
        <v>1.3</v>
      </c>
      <c r="V25" s="55">
        <v>3.12</v>
      </c>
      <c r="W25" s="48" t="s">
        <v>129</v>
      </c>
    </row>
    <row r="26" spans="3:25" x14ac:dyDescent="0.25">
      <c r="I26" s="44" t="s">
        <v>114</v>
      </c>
      <c r="J26" s="56" t="s">
        <v>37</v>
      </c>
      <c r="L26" s="6" t="s">
        <v>94</v>
      </c>
      <c r="M26" s="52" t="s">
        <v>79</v>
      </c>
      <c r="N26" s="48" t="s">
        <v>80</v>
      </c>
      <c r="O26" s="48">
        <v>60</v>
      </c>
      <c r="P26" s="48" t="s">
        <v>81</v>
      </c>
      <c r="Q26" s="53">
        <v>2.5</v>
      </c>
      <c r="R26" s="54">
        <v>2500</v>
      </c>
      <c r="S26" s="48">
        <v>70</v>
      </c>
      <c r="T26" s="55">
        <v>0.19</v>
      </c>
      <c r="U26" s="53">
        <v>1.4</v>
      </c>
      <c r="V26" s="55">
        <v>2.74</v>
      </c>
      <c r="W26" s="48"/>
    </row>
    <row r="27" spans="3:25" x14ac:dyDescent="0.25">
      <c r="I27" s="44" t="s">
        <v>114</v>
      </c>
      <c r="J27" s="56" t="s">
        <v>47</v>
      </c>
      <c r="L27" s="6" t="s">
        <v>94</v>
      </c>
      <c r="M27" s="52" t="s">
        <v>54</v>
      </c>
      <c r="N27" s="48" t="s">
        <v>52</v>
      </c>
      <c r="O27" s="48">
        <v>65</v>
      </c>
      <c r="P27" s="48" t="s">
        <v>55</v>
      </c>
      <c r="Q27" s="53">
        <v>3</v>
      </c>
      <c r="R27" s="54">
        <v>2000</v>
      </c>
      <c r="S27" s="48">
        <v>60</v>
      </c>
      <c r="T27" s="55">
        <v>0.12</v>
      </c>
      <c r="U27" s="53">
        <v>2.2999999999999998</v>
      </c>
      <c r="V27" s="55">
        <v>1.33</v>
      </c>
      <c r="W27" s="48" t="s">
        <v>129</v>
      </c>
    </row>
    <row r="28" spans="3:25" x14ac:dyDescent="0.25">
      <c r="I28" s="8" t="s">
        <v>115</v>
      </c>
      <c r="J28" s="56" t="s">
        <v>32</v>
      </c>
      <c r="L28" s="67" t="s">
        <v>95</v>
      </c>
      <c r="M28" s="59" t="s">
        <v>170</v>
      </c>
      <c r="N28" s="48" t="s">
        <v>68</v>
      </c>
      <c r="O28" s="48">
        <v>75</v>
      </c>
      <c r="P28" s="48" t="s">
        <v>69</v>
      </c>
      <c r="Q28" s="53">
        <v>4</v>
      </c>
      <c r="R28" s="54">
        <v>2000</v>
      </c>
      <c r="S28" s="48">
        <v>80</v>
      </c>
      <c r="T28" s="55">
        <v>0.23</v>
      </c>
      <c r="U28" s="53">
        <v>1.8</v>
      </c>
      <c r="V28" s="55">
        <v>4</v>
      </c>
      <c r="W28" s="48"/>
    </row>
    <row r="29" spans="3:25" x14ac:dyDescent="0.25">
      <c r="I29" s="7" t="s">
        <v>115</v>
      </c>
      <c r="J29" s="51" t="s">
        <v>34</v>
      </c>
      <c r="L29" s="43" t="s">
        <v>114</v>
      </c>
      <c r="M29" s="52" t="s">
        <v>37</v>
      </c>
      <c r="N29" s="48" t="s">
        <v>27</v>
      </c>
      <c r="O29" s="48">
        <v>85</v>
      </c>
      <c r="P29" s="48" t="s">
        <v>38</v>
      </c>
      <c r="Q29" s="53">
        <v>6</v>
      </c>
      <c r="R29" s="54">
        <v>2000</v>
      </c>
      <c r="S29" s="48">
        <v>40</v>
      </c>
      <c r="T29" s="55">
        <v>0.16</v>
      </c>
      <c r="U29" s="53">
        <v>1.3</v>
      </c>
      <c r="V29" s="55">
        <v>2.4500000000000002</v>
      </c>
      <c r="W29" s="48" t="s">
        <v>129</v>
      </c>
    </row>
    <row r="30" spans="3:25" x14ac:dyDescent="0.25">
      <c r="I30" s="7" t="s">
        <v>115</v>
      </c>
      <c r="J30" s="51" t="s">
        <v>29</v>
      </c>
      <c r="L30" s="6" t="s">
        <v>115</v>
      </c>
      <c r="M30" s="52" t="s">
        <v>40</v>
      </c>
      <c r="N30" s="48" t="s">
        <v>41</v>
      </c>
      <c r="O30" s="48">
        <v>80</v>
      </c>
      <c r="P30" s="48" t="s">
        <v>42</v>
      </c>
      <c r="Q30" s="53">
        <v>12</v>
      </c>
      <c r="R30" s="54">
        <v>2000</v>
      </c>
      <c r="S30" s="48">
        <v>60</v>
      </c>
      <c r="T30" s="55">
        <v>0.23</v>
      </c>
      <c r="U30" s="53">
        <v>1.4</v>
      </c>
      <c r="V30" s="55">
        <v>3.03</v>
      </c>
      <c r="W30" s="48"/>
    </row>
    <row r="31" spans="3:25" x14ac:dyDescent="0.25">
      <c r="I31" s="8" t="s">
        <v>115</v>
      </c>
      <c r="J31" s="56" t="s">
        <v>26</v>
      </c>
      <c r="L31" s="6" t="s">
        <v>115</v>
      </c>
      <c r="M31" s="52" t="s">
        <v>45</v>
      </c>
      <c r="N31" s="48" t="s">
        <v>27</v>
      </c>
      <c r="O31" s="48">
        <v>85</v>
      </c>
      <c r="P31" s="48" t="s">
        <v>46</v>
      </c>
      <c r="Q31" s="53">
        <v>3</v>
      </c>
      <c r="R31" s="54">
        <v>1500</v>
      </c>
      <c r="S31" s="48">
        <v>80</v>
      </c>
      <c r="T31" s="55">
        <v>0.36</v>
      </c>
      <c r="U31" s="53">
        <v>2</v>
      </c>
      <c r="V31" s="55">
        <v>5.4</v>
      </c>
      <c r="W31" s="48"/>
    </row>
    <row r="32" spans="3:25" x14ac:dyDescent="0.25">
      <c r="I32" s="7" t="s">
        <v>115</v>
      </c>
      <c r="J32" s="51" t="s">
        <v>39</v>
      </c>
      <c r="L32" s="67" t="s">
        <v>115</v>
      </c>
      <c r="M32" s="52" t="s">
        <v>43</v>
      </c>
      <c r="N32" s="48" t="s">
        <v>27</v>
      </c>
      <c r="O32" s="48">
        <v>80</v>
      </c>
      <c r="P32" s="48" t="s">
        <v>44</v>
      </c>
      <c r="Q32" s="53">
        <v>5</v>
      </c>
      <c r="R32" s="54">
        <v>2000</v>
      </c>
      <c r="S32" s="48">
        <v>80</v>
      </c>
      <c r="T32" s="55">
        <v>0.17</v>
      </c>
      <c r="U32" s="53">
        <v>2.2000000000000002</v>
      </c>
      <c r="V32" s="55">
        <v>3.91</v>
      </c>
      <c r="W32" s="48"/>
    </row>
    <row r="33" spans="7:23" x14ac:dyDescent="0.25">
      <c r="I33" s="7" t="s">
        <v>115</v>
      </c>
      <c r="J33" s="51" t="s">
        <v>40</v>
      </c>
      <c r="L33" s="43" t="s">
        <v>114</v>
      </c>
      <c r="M33" s="52" t="s">
        <v>47</v>
      </c>
      <c r="N33" s="48" t="s">
        <v>48</v>
      </c>
      <c r="O33" s="48">
        <v>65</v>
      </c>
      <c r="P33" s="48" t="s">
        <v>31</v>
      </c>
      <c r="Q33" s="53">
        <v>5.5</v>
      </c>
      <c r="R33" s="54">
        <v>1500</v>
      </c>
      <c r="S33" s="48">
        <v>75</v>
      </c>
      <c r="T33" s="55">
        <v>0.32</v>
      </c>
      <c r="U33" s="53">
        <v>2.1</v>
      </c>
      <c r="V33" s="55">
        <v>5</v>
      </c>
      <c r="W33" s="48" t="s">
        <v>129</v>
      </c>
    </row>
    <row r="34" spans="7:23" x14ac:dyDescent="0.25">
      <c r="I34" s="8" t="s">
        <v>115</v>
      </c>
      <c r="J34" s="56" t="s">
        <v>45</v>
      </c>
      <c r="L34" s="6" t="s">
        <v>95</v>
      </c>
      <c r="M34" s="52" t="s">
        <v>66</v>
      </c>
      <c r="N34" s="48" t="s">
        <v>27</v>
      </c>
      <c r="O34" s="48">
        <v>80</v>
      </c>
      <c r="P34" s="48" t="s">
        <v>67</v>
      </c>
      <c r="Q34" s="53">
        <v>6</v>
      </c>
      <c r="R34" s="54">
        <v>2500</v>
      </c>
      <c r="S34" s="48">
        <v>60</v>
      </c>
      <c r="T34" s="55">
        <v>0.17</v>
      </c>
      <c r="U34" s="53">
        <v>1.4</v>
      </c>
      <c r="V34" s="55">
        <v>2.4500000000000002</v>
      </c>
      <c r="W34" s="48"/>
    </row>
    <row r="35" spans="7:23" x14ac:dyDescent="0.25">
      <c r="I35" s="7" t="s">
        <v>115</v>
      </c>
      <c r="J35" s="51" t="s">
        <v>43</v>
      </c>
      <c r="L35" s="6" t="s">
        <v>144</v>
      </c>
      <c r="M35" s="52" t="s">
        <v>56</v>
      </c>
      <c r="N35" s="48" t="s">
        <v>57</v>
      </c>
      <c r="O35" s="48">
        <v>70</v>
      </c>
      <c r="P35" s="48" t="s">
        <v>55</v>
      </c>
      <c r="Q35" s="53">
        <v>3</v>
      </c>
      <c r="R35" s="54">
        <v>3000</v>
      </c>
      <c r="S35" s="48">
        <v>40</v>
      </c>
      <c r="T35" s="55">
        <v>0.04</v>
      </c>
      <c r="U35" s="53">
        <v>2.1</v>
      </c>
      <c r="V35" s="55">
        <v>1.33</v>
      </c>
      <c r="W35" s="48"/>
    </row>
    <row r="36" spans="7:23" x14ac:dyDescent="0.25">
      <c r="I36" s="7" t="s">
        <v>115</v>
      </c>
      <c r="J36" s="51" t="s">
        <v>36</v>
      </c>
      <c r="L36" s="6" t="s">
        <v>144</v>
      </c>
      <c r="M36" s="52" t="s">
        <v>82</v>
      </c>
      <c r="N36" s="48" t="s">
        <v>52</v>
      </c>
      <c r="O36" s="48">
        <v>70</v>
      </c>
      <c r="P36" s="48" t="s">
        <v>53</v>
      </c>
      <c r="Q36" s="53">
        <v>3</v>
      </c>
      <c r="R36" s="54">
        <v>3000</v>
      </c>
      <c r="S36" s="48">
        <v>80</v>
      </c>
      <c r="T36" s="55">
        <v>0.11</v>
      </c>
      <c r="U36" s="53">
        <v>1.8</v>
      </c>
      <c r="V36" s="55">
        <v>2.65</v>
      </c>
      <c r="W36" s="48"/>
    </row>
    <row r="37" spans="7:23" x14ac:dyDescent="0.25">
      <c r="I37" s="8" t="s">
        <v>115</v>
      </c>
      <c r="J37" s="56" t="s">
        <v>30</v>
      </c>
      <c r="L37" s="6" t="s">
        <v>145</v>
      </c>
      <c r="M37" s="52" t="s">
        <v>74</v>
      </c>
      <c r="N37" s="48" t="s">
        <v>68</v>
      </c>
      <c r="O37" s="48">
        <v>70</v>
      </c>
      <c r="P37" s="48" t="s">
        <v>75</v>
      </c>
      <c r="Q37" s="53">
        <v>3.5</v>
      </c>
      <c r="R37" s="54">
        <v>4000</v>
      </c>
      <c r="S37" s="48">
        <v>50</v>
      </c>
      <c r="T37" s="55">
        <v>0.03</v>
      </c>
      <c r="U37" s="53">
        <v>2</v>
      </c>
      <c r="V37" s="55">
        <v>1.2</v>
      </c>
      <c r="W37" s="48"/>
    </row>
    <row r="38" spans="7:23" x14ac:dyDescent="0.25">
      <c r="I38" s="44" t="s">
        <v>112</v>
      </c>
      <c r="J38" s="52" t="s">
        <v>132</v>
      </c>
      <c r="L38" s="6" t="s">
        <v>145</v>
      </c>
      <c r="M38" s="52" t="s">
        <v>64</v>
      </c>
      <c r="N38" s="48" t="s">
        <v>41</v>
      </c>
      <c r="O38" s="48">
        <v>80</v>
      </c>
      <c r="P38" s="48" t="s">
        <v>65</v>
      </c>
      <c r="Q38" s="53">
        <v>5</v>
      </c>
      <c r="R38" s="54">
        <v>3000</v>
      </c>
      <c r="S38" s="48">
        <v>55</v>
      </c>
      <c r="T38" s="55">
        <v>0.06</v>
      </c>
      <c r="U38" s="53">
        <v>2</v>
      </c>
      <c r="V38" s="55">
        <v>1.8</v>
      </c>
      <c r="W38" s="48"/>
    </row>
    <row r="39" spans="7:23" x14ac:dyDescent="0.25">
      <c r="G39" s="6"/>
      <c r="I39" s="44" t="s">
        <v>112</v>
      </c>
      <c r="J39" s="52" t="s">
        <v>134</v>
      </c>
      <c r="L39" s="6" t="s">
        <v>115</v>
      </c>
      <c r="M39" s="51" t="s">
        <v>36</v>
      </c>
      <c r="N39" s="48" t="s">
        <v>27</v>
      </c>
      <c r="O39" s="48">
        <v>85</v>
      </c>
      <c r="P39" s="48" t="s">
        <v>35</v>
      </c>
      <c r="Q39" s="53">
        <v>7</v>
      </c>
      <c r="R39" s="54">
        <v>2000</v>
      </c>
      <c r="S39" s="48">
        <v>70</v>
      </c>
      <c r="T39" s="55">
        <v>0.27</v>
      </c>
      <c r="U39" s="53">
        <v>1.4</v>
      </c>
      <c r="V39" s="55">
        <v>3.91</v>
      </c>
      <c r="W39" s="48" t="s">
        <v>129</v>
      </c>
    </row>
    <row r="40" spans="7:23" x14ac:dyDescent="0.25">
      <c r="I40" s="44" t="s">
        <v>113</v>
      </c>
      <c r="J40" s="52" t="s">
        <v>133</v>
      </c>
      <c r="L40" s="6" t="s">
        <v>94</v>
      </c>
      <c r="M40" s="52" t="s">
        <v>76</v>
      </c>
      <c r="N40" s="48" t="s">
        <v>77</v>
      </c>
      <c r="O40" s="48">
        <v>60</v>
      </c>
      <c r="P40" s="48" t="s">
        <v>78</v>
      </c>
      <c r="Q40" s="53">
        <v>5</v>
      </c>
      <c r="R40" s="54">
        <v>1500</v>
      </c>
      <c r="S40" s="48">
        <v>100</v>
      </c>
      <c r="T40" s="55">
        <v>0.59</v>
      </c>
      <c r="U40" s="53">
        <v>1.3</v>
      </c>
      <c r="V40" s="55">
        <v>7.77</v>
      </c>
      <c r="W40" s="48"/>
    </row>
    <row r="41" spans="7:23" x14ac:dyDescent="0.25">
      <c r="I41" s="44" t="s">
        <v>113</v>
      </c>
      <c r="J41" s="52" t="s">
        <v>135</v>
      </c>
      <c r="L41" s="17" t="s">
        <v>115</v>
      </c>
      <c r="M41" s="59" t="s">
        <v>30</v>
      </c>
      <c r="N41" s="60" t="s">
        <v>27</v>
      </c>
      <c r="O41" s="60">
        <v>80</v>
      </c>
      <c r="P41" s="60" t="s">
        <v>31</v>
      </c>
      <c r="Q41" s="61">
        <v>6</v>
      </c>
      <c r="R41" s="62">
        <v>2000</v>
      </c>
      <c r="S41" s="60">
        <v>60</v>
      </c>
      <c r="T41" s="63">
        <v>0.18</v>
      </c>
      <c r="U41" s="61">
        <v>1.7</v>
      </c>
      <c r="V41" s="63">
        <v>3.91</v>
      </c>
      <c r="W41" s="48" t="s">
        <v>129</v>
      </c>
    </row>
    <row r="42" spans="7:23" x14ac:dyDescent="0.25">
      <c r="L42" s="72" t="s">
        <v>172</v>
      </c>
      <c r="M42" s="59"/>
      <c r="N42" s="60"/>
      <c r="O42" s="60"/>
      <c r="P42" s="60"/>
      <c r="Q42" s="61"/>
      <c r="R42" s="62"/>
      <c r="S42" s="60"/>
      <c r="T42" s="63"/>
      <c r="U42" s="61"/>
      <c r="V42" s="63"/>
      <c r="W42" s="60"/>
    </row>
    <row r="43" spans="7:23" x14ac:dyDescent="0.25">
      <c r="L43" s="5"/>
    </row>
    <row r="56" spans="7:7" x14ac:dyDescent="0.25">
      <c r="G56" s="44" t="s">
        <v>97</v>
      </c>
    </row>
    <row r="57" spans="7:7" x14ac:dyDescent="0.25">
      <c r="G57" s="6" t="s">
        <v>94</v>
      </c>
    </row>
    <row r="58" spans="7:7" x14ac:dyDescent="0.25">
      <c r="G58" s="6" t="s">
        <v>95</v>
      </c>
    </row>
    <row r="59" spans="7:7" hidden="1" x14ac:dyDescent="0.25">
      <c r="G59" s="6" t="s">
        <v>83</v>
      </c>
    </row>
    <row r="60" spans="7:7" hidden="1" x14ac:dyDescent="0.25">
      <c r="G60" s="44" t="s">
        <v>114</v>
      </c>
    </row>
    <row r="61" spans="7:7" hidden="1" x14ac:dyDescent="0.25">
      <c r="G61" s="44" t="s">
        <v>115</v>
      </c>
    </row>
    <row r="62" spans="7:7" hidden="1" x14ac:dyDescent="0.25">
      <c r="G62" s="44" t="s">
        <v>113</v>
      </c>
    </row>
    <row r="63" spans="7:7" hidden="1" x14ac:dyDescent="0.25">
      <c r="G63" s="44" t="s">
        <v>112</v>
      </c>
    </row>
  </sheetData>
  <sheetProtection algorithmName="SHA-512" hashValue="zh802LGTHQDnh3v27oRDOLdpy4KTzIPmaz1wvxEyNNV/Q/fpvQkjUxTYAyudB4pIlIh92MhwL7/N7xyEVPpcJw==" saltValue="sWdj8Bbx2pqxBDd7q4930w==" spinCount="100000" sheet="1" objects="1" scenarios="1"/>
  <sortState xmlns:xlrd2="http://schemas.microsoft.com/office/spreadsheetml/2017/richdata2" ref="I7:J43">
    <sortCondition ref="I7:I43"/>
    <sortCondition ref="J7:J43"/>
  </sortState>
  <phoneticPr fontId="5" type="noConversion"/>
  <pageMargins left="0.7" right="0.7" top="0.75" bottom="0.75" header="0.3" footer="0.3"/>
  <pageSetup scale="25" orientation="landscape" r:id="rId1"/>
  <tableParts count="8">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52FF-2BD6-46B8-9093-055A82626F41}">
  <dimension ref="B2:C28"/>
  <sheetViews>
    <sheetView workbookViewId="0">
      <selection activeCell="B2" sqref="B2"/>
    </sheetView>
  </sheetViews>
  <sheetFormatPr defaultRowHeight="15" x14ac:dyDescent="0.25"/>
  <cols>
    <col min="2" max="2" width="18.7109375" customWidth="1"/>
    <col min="3" max="3" width="71.85546875" customWidth="1"/>
  </cols>
  <sheetData>
    <row r="2" spans="2:3" x14ac:dyDescent="0.25">
      <c r="B2" s="40" t="s">
        <v>153</v>
      </c>
    </row>
    <row r="4" spans="2:3" x14ac:dyDescent="0.25">
      <c r="B4" s="41" t="s">
        <v>154</v>
      </c>
      <c r="C4" s="41" t="s">
        <v>155</v>
      </c>
    </row>
    <row r="5" spans="2:3" ht="30" x14ac:dyDescent="0.25">
      <c r="B5" s="4" t="s">
        <v>106</v>
      </c>
      <c r="C5" s="4" t="s">
        <v>158</v>
      </c>
    </row>
    <row r="6" spans="2:3" ht="30" x14ac:dyDescent="0.25">
      <c r="B6" s="4" t="s">
        <v>105</v>
      </c>
      <c r="C6" s="4" t="s">
        <v>157</v>
      </c>
    </row>
    <row r="7" spans="2:3" ht="30" x14ac:dyDescent="0.25">
      <c r="B7" s="4" t="s">
        <v>104</v>
      </c>
      <c r="C7" s="4" t="s">
        <v>222</v>
      </c>
    </row>
    <row r="8" spans="2:3" ht="75" x14ac:dyDescent="0.25">
      <c r="B8" s="4" t="s">
        <v>156</v>
      </c>
      <c r="C8" s="4" t="s">
        <v>223</v>
      </c>
    </row>
    <row r="9" spans="2:3" ht="60" x14ac:dyDescent="0.25">
      <c r="B9" s="4" t="s">
        <v>103</v>
      </c>
      <c r="C9" s="4" t="s">
        <v>224</v>
      </c>
    </row>
    <row r="10" spans="2:3" ht="62.25" customHeight="1" x14ac:dyDescent="0.25">
      <c r="B10" s="4" t="s">
        <v>161</v>
      </c>
      <c r="C10" s="4" t="s">
        <v>228</v>
      </c>
    </row>
    <row r="11" spans="2:3" ht="45" x14ac:dyDescent="0.25">
      <c r="B11" s="4" t="s">
        <v>13</v>
      </c>
      <c r="C11" s="4" t="s">
        <v>225</v>
      </c>
    </row>
    <row r="12" spans="2:3" ht="30" x14ac:dyDescent="0.25">
      <c r="B12" s="4" t="s">
        <v>12</v>
      </c>
      <c r="C12" s="4" t="s">
        <v>226</v>
      </c>
    </row>
    <row r="13" spans="2:3" ht="30" x14ac:dyDescent="0.25">
      <c r="B13" s="4" t="s">
        <v>130</v>
      </c>
      <c r="C13" s="4" t="s">
        <v>160</v>
      </c>
    </row>
    <row r="14" spans="2:3" ht="30" x14ac:dyDescent="0.25">
      <c r="B14" s="4" t="s">
        <v>111</v>
      </c>
      <c r="C14" s="4" t="s">
        <v>159</v>
      </c>
    </row>
    <row r="15" spans="2:3" ht="30" x14ac:dyDescent="0.25">
      <c r="B15" s="4" t="s">
        <v>16</v>
      </c>
      <c r="C15" s="4" t="s">
        <v>227</v>
      </c>
    </row>
    <row r="18" spans="2:3" x14ac:dyDescent="0.25">
      <c r="B18" s="40" t="s">
        <v>162</v>
      </c>
    </row>
    <row r="20" spans="2:3" x14ac:dyDescent="0.25">
      <c r="B20" s="77" t="s">
        <v>182</v>
      </c>
    </row>
    <row r="21" spans="2:3" x14ac:dyDescent="0.25">
      <c r="C21" s="77" t="s">
        <v>181</v>
      </c>
    </row>
    <row r="23" spans="2:3" x14ac:dyDescent="0.25">
      <c r="B23" t="s">
        <v>163</v>
      </c>
    </row>
    <row r="25" spans="2:3" x14ac:dyDescent="0.25">
      <c r="B25" t="s">
        <v>165</v>
      </c>
    </row>
    <row r="26" spans="2:3" x14ac:dyDescent="0.25">
      <c r="C26" t="s">
        <v>166</v>
      </c>
    </row>
    <row r="28" spans="2:3" x14ac:dyDescent="0.25">
      <c r="B28" t="s">
        <v>164</v>
      </c>
    </row>
  </sheetData>
  <sortState xmlns:xlrd2="http://schemas.microsoft.com/office/spreadsheetml/2017/richdata2" ref="B5:C15">
    <sortCondition ref="B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vt:lpstr>
      <vt:lpstr>Tractor + Implement</vt:lpstr>
      <vt:lpstr>Self-Propelled</vt:lpstr>
      <vt:lpstr>Implements</vt:lpstr>
      <vt:lpstr>Factors</vt:lpstr>
      <vt:lpstr>Definitions</vt:lpstr>
      <vt:lpstr>Definitions!_Hlk43478301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Johnson</dc:creator>
  <cp:lastModifiedBy>Jeffrey Johnson</cp:lastModifiedBy>
  <cp:lastPrinted>2020-07-06T21:03:45Z</cp:lastPrinted>
  <dcterms:created xsi:type="dcterms:W3CDTF">2020-04-05T22:37:47Z</dcterms:created>
  <dcterms:modified xsi:type="dcterms:W3CDTF">2020-10-14T18:41:55Z</dcterms:modified>
</cp:coreProperties>
</file>